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ecios1\Desktop\Fichas de costo Palacio de la Revolución\"/>
    </mc:Choice>
  </mc:AlternateContent>
  <bookViews>
    <workbookView xWindow="0" yWindow="0" windowWidth="20400" windowHeight="8940" firstSheet="1" activeTab="6"/>
  </bookViews>
  <sheets>
    <sheet name="DATOS (3)" sheetId="78" state="hidden" r:id="rId1"/>
    <sheet name="Hoja1" sheetId="88" r:id="rId2"/>
    <sheet name="DATOS (2)" sheetId="77" r:id="rId3"/>
    <sheet name="DATOS" sheetId="57" state="hidden" r:id="rId4"/>
    <sheet name="Hoja2" sheetId="83" state="hidden" r:id="rId5"/>
    <sheet name="Datos 2" sheetId="79" state="hidden" r:id="rId6"/>
    <sheet name="FICHA DE COSTO" sheetId="68" r:id="rId7"/>
    <sheet name="IM" sheetId="75" r:id="rId8"/>
    <sheet name="Estrategia a precios actuales" sheetId="87" r:id="rId9"/>
    <sheet name="SALARIOS" sheetId="34" r:id="rId10"/>
    <sheet name="estrategia de suelos" sheetId="86" r:id="rId11"/>
    <sheet name="Agua y energía" sheetId="85" r:id="rId12"/>
    <sheet name="Estrategia" sheetId="84" r:id="rId13"/>
    <sheet name="Resolución 92-21" sheetId="81" r:id="rId14"/>
    <sheet name="Insumos 2020" sheetId="80" r:id="rId15"/>
    <sheet name="Otros insumos" sheetId="82" r:id="rId16"/>
    <sheet name="CT YUCA" sheetId="45" state="hidden" r:id="rId17"/>
    <sheet name="CT BONIATO" sheetId="27" r:id="rId18"/>
    <sheet name="CT BURRO" sheetId="50" state="hidden" r:id="rId19"/>
    <sheet name="CT M XANT" sheetId="36" state="hidden" r:id="rId20"/>
    <sheet name="CT M COLOCASIA" sheetId="61" state="hidden" r:id="rId21"/>
    <sheet name="CT PAPA" sheetId="76" state="hidden" r:id="rId22"/>
    <sheet name="CT P FRUTA" sheetId="1" state="hidden" r:id="rId23"/>
    <sheet name="CT P VIANDA" sheetId="46" state="hidden" r:id="rId24"/>
    <sheet name="GF" sheetId="28" state="hidden" r:id="rId25"/>
    <sheet name="PRECIOS DE INSUMOS PLAGUICIDAS" sheetId="63" state="hidden" r:id="rId26"/>
    <sheet name="FERTILIZANTES" sheetId="64" state="hidden" r:id="rId27"/>
    <sheet name="MATERIALES" sheetId="73" state="hidden" r:id="rId28"/>
    <sheet name="DEPRECIACIÓN" sheetId="10" state="hidden" r:id="rId29"/>
    <sheet name="PRECIOS INSUMOS 2015" sheetId="74" state="hidden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17" hidden="1">'CT BONIATO'!$A$7:$V$149</definedName>
    <definedName name="_xlnm._FilterDatabase" localSheetId="18" hidden="1">'CT BURRO'!$A$8:$T$127</definedName>
    <definedName name="_xlnm._FilterDatabase" localSheetId="20" hidden="1">'CT M COLOCASIA'!$A$7:$T$154</definedName>
    <definedName name="_xlnm._FilterDatabase" localSheetId="19" hidden="1">'CT M XANT'!$A$8:$U$132</definedName>
    <definedName name="_xlnm._FilterDatabase" localSheetId="22" hidden="1">'CT P FRUTA'!$A$7:$R$177</definedName>
    <definedName name="_xlnm._FilterDatabase" localSheetId="23" hidden="1">'CT P VIANDA'!$A$8:$R$176</definedName>
    <definedName name="_xlnm._FilterDatabase" localSheetId="21" hidden="1">'CT PAPA'!$A$10:$AF$140</definedName>
    <definedName name="_xlnm._FilterDatabase" localSheetId="16" hidden="1">'CT YUCA'!$A$8:$S$113</definedName>
    <definedName name="_xlnm._FilterDatabase" localSheetId="8" hidden="1">'Estrategia a precios actuales'!$A$4:$F$6</definedName>
    <definedName name="_xlnm._FilterDatabase" localSheetId="10" hidden="1">'estrategia de suelos'!$A$1:$C$1</definedName>
    <definedName name="_xlnm._FilterDatabase" localSheetId="6" hidden="1">'FICHA DE COSTO'!$A$1:$S$295</definedName>
    <definedName name="_xlnm._FilterDatabase" localSheetId="7" hidden="1">IM!$A$7:$P$223</definedName>
    <definedName name="_xlnm._FilterDatabase" localSheetId="14" hidden="1">'Insumos 2020'!$A$2:$C$478</definedName>
    <definedName name="_xlnm._FilterDatabase" localSheetId="27" hidden="1">MATERIALES!$A$1:$P$241</definedName>
    <definedName name="_xlnm._FilterDatabase" localSheetId="9" hidden="1">SALARIOS!$A$7:$Q$109</definedName>
    <definedName name="_xlnm.Print_Area" localSheetId="17">'CT BONIATO'!$A$1:$T$225</definedName>
    <definedName name="_xlnm.Print_Area" localSheetId="18" xml:space="preserve">                                                                                                                        'CT BURRO'!$A$1:$S$132</definedName>
    <definedName name="_xlnm.Print_Area" localSheetId="19">'CT M XANT'!$A$1:$S$132</definedName>
    <definedName name="_xlnm.Print_Area" localSheetId="3">DATOS!$A$1:$I$36</definedName>
    <definedName name="_xlnm.Print_Area" localSheetId="2">'DATOS (2)'!$A$1:$I$21</definedName>
    <definedName name="_xlnm.Print_Area" localSheetId="0">'DATOS (3)'!$A$1:$H$22</definedName>
    <definedName name="_xlnm.Print_Area" localSheetId="6">'FICHA DE COSTO'!$A$2:$D$295</definedName>
    <definedName name="_xlnm.Print_Area" localSheetId="7">IM!$A$1:$H$223</definedName>
    <definedName name="_xlnm.Print_Area" localSheetId="27">MATERIALES!$A$2:$G$241</definedName>
    <definedName name="_xlnm.Print_Area" localSheetId="9">SALARIOS!$A$2:$G$109</definedName>
    <definedName name="_xlnm.Print_Titles" localSheetId="17">'CT BONIATO'!$4:$7</definedName>
    <definedName name="_xlnm.Print_Titles" localSheetId="19">'CT M XANT'!$4:$8</definedName>
    <definedName name="_xlnm.Print_Titles" localSheetId="22">'CT P FRUTA'!$4:$8</definedName>
  </definedNames>
  <calcPr calcId="162913" iterateDelta="1E-4"/>
</workbook>
</file>

<file path=xl/calcChain.xml><?xml version="1.0" encoding="utf-8"?>
<calcChain xmlns="http://schemas.openxmlformats.org/spreadsheetml/2006/main">
  <c r="F60" i="34" l="1"/>
  <c r="F14" i="34"/>
  <c r="H141" i="75"/>
  <c r="H15" i="75"/>
  <c r="H177" i="75"/>
  <c r="E177" i="75"/>
  <c r="H176" i="75"/>
  <c r="H175" i="75"/>
  <c r="H174" i="75"/>
  <c r="H173" i="75"/>
  <c r="E173" i="75"/>
  <c r="H84" i="75"/>
  <c r="E84" i="75"/>
  <c r="H83" i="75"/>
  <c r="H82" i="75"/>
  <c r="H81" i="75"/>
  <c r="H80" i="75"/>
  <c r="E80" i="75"/>
  <c r="H51" i="75"/>
  <c r="H50" i="75"/>
  <c r="H49" i="75"/>
  <c r="H16" i="75"/>
  <c r="H14" i="75"/>
  <c r="H13" i="75"/>
  <c r="H12" i="75"/>
  <c r="H11" i="75"/>
  <c r="D267" i="68"/>
  <c r="H207" i="75"/>
  <c r="H210" i="75"/>
  <c r="H209" i="75"/>
  <c r="H208" i="75"/>
  <c r="E151" i="75"/>
  <c r="H150" i="75"/>
  <c r="E150" i="75"/>
  <c r="H149" i="75"/>
  <c r="E149" i="75"/>
  <c r="H148" i="75"/>
  <c r="E148" i="75"/>
  <c r="H147" i="75"/>
  <c r="E147" i="75"/>
  <c r="H146" i="75"/>
  <c r="E146" i="75"/>
  <c r="H145" i="75"/>
  <c r="E145" i="75"/>
  <c r="H120" i="75"/>
  <c r="H119" i="75"/>
  <c r="H118" i="75"/>
  <c r="H117" i="75"/>
  <c r="H116" i="75"/>
  <c r="H115" i="75"/>
  <c r="K60" i="75"/>
  <c r="H59" i="75"/>
  <c r="E59" i="75"/>
  <c r="E58" i="75"/>
  <c r="H57" i="75"/>
  <c r="E57" i="75"/>
  <c r="H56" i="75"/>
  <c r="E56" i="75"/>
  <c r="H55" i="75"/>
  <c r="E55" i="75"/>
  <c r="H54" i="75"/>
  <c r="E54" i="75"/>
  <c r="H53" i="75"/>
  <c r="E53" i="75"/>
  <c r="H89" i="75"/>
  <c r="H88" i="75"/>
  <c r="H87" i="75"/>
  <c r="H86" i="75"/>
  <c r="H85" i="75"/>
  <c r="H182" i="75"/>
  <c r="H181" i="75"/>
  <c r="H180" i="75"/>
  <c r="H179" i="75"/>
  <c r="H178" i="75"/>
  <c r="H24" i="75"/>
  <c r="H23" i="75"/>
  <c r="H22" i="75"/>
  <c r="H21" i="75"/>
  <c r="H20" i="75"/>
  <c r="H19" i="75"/>
  <c r="H18" i="75"/>
  <c r="D13" i="88"/>
  <c r="B13" i="88"/>
  <c r="D9" i="88"/>
  <c r="B9" i="88"/>
  <c r="D5" i="88"/>
  <c r="B5" i="88"/>
  <c r="J5" i="77"/>
  <c r="J11" i="77"/>
  <c r="J10" i="77"/>
  <c r="J9" i="77"/>
  <c r="J7" i="77"/>
  <c r="J8" i="77"/>
  <c r="E65" i="87"/>
  <c r="F65" i="87" s="1"/>
  <c r="E64" i="87"/>
  <c r="F64" i="87" s="1"/>
  <c r="E63" i="87"/>
  <c r="F63" i="87" s="1"/>
  <c r="E62" i="87"/>
  <c r="F62" i="87" s="1"/>
  <c r="E61" i="87"/>
  <c r="F61" i="87" s="1"/>
  <c r="E58" i="87"/>
  <c r="F58" i="87" s="1"/>
  <c r="E57" i="87"/>
  <c r="F57" i="87" s="1"/>
  <c r="E56" i="87"/>
  <c r="F56" i="87" s="1"/>
  <c r="E52" i="87"/>
  <c r="F52" i="87"/>
  <c r="E51" i="87"/>
  <c r="F51" i="87" s="1"/>
  <c r="E50" i="87"/>
  <c r="E46" i="87"/>
  <c r="F46" i="87" s="1"/>
  <c r="E45" i="87"/>
  <c r="F45" i="87" s="1"/>
  <c r="E44" i="87"/>
  <c r="F44" i="87" s="1"/>
  <c r="E43" i="87"/>
  <c r="F43" i="87"/>
  <c r="E42" i="87"/>
  <c r="F42" i="87" s="1"/>
  <c r="E33" i="87"/>
  <c r="F33" i="87" s="1"/>
  <c r="E32" i="87"/>
  <c r="F32" i="87" s="1"/>
  <c r="E31" i="87"/>
  <c r="F31" i="87" s="1"/>
  <c r="E27" i="87"/>
  <c r="F27" i="87" s="1"/>
  <c r="F28" i="87" s="1"/>
  <c r="E24" i="87"/>
  <c r="F24" i="87" s="1"/>
  <c r="F25" i="87" s="1"/>
  <c r="E17" i="87"/>
  <c r="F17" i="87" s="1"/>
  <c r="E16" i="87"/>
  <c r="F16" i="87" s="1"/>
  <c r="E15" i="87"/>
  <c r="F15" i="87" s="1"/>
  <c r="E11" i="87"/>
  <c r="F11" i="87" s="1"/>
  <c r="F12" i="87" s="1"/>
  <c r="E9" i="87"/>
  <c r="F9" i="87" s="1"/>
  <c r="E8" i="87"/>
  <c r="F8" i="87" s="1"/>
  <c r="F50" i="87"/>
  <c r="F41" i="87"/>
  <c r="D66" i="87"/>
  <c r="D59" i="87"/>
  <c r="C59" i="87"/>
  <c r="C53" i="87"/>
  <c r="D47" i="87"/>
  <c r="D34" i="87"/>
  <c r="D28" i="87"/>
  <c r="D25" i="87"/>
  <c r="D18" i="87"/>
  <c r="D12" i="87"/>
  <c r="D10" i="87"/>
  <c r="C5" i="82"/>
  <c r="M20" i="77"/>
  <c r="R20" i="77" s="1"/>
  <c r="T20" i="77" s="1"/>
  <c r="J25" i="77"/>
  <c r="M25" i="77" s="1"/>
  <c r="R25" i="77" s="1"/>
  <c r="T25" i="77" s="1"/>
  <c r="J26" i="77"/>
  <c r="M26" i="77" s="1"/>
  <c r="R26" i="77" s="1"/>
  <c r="T26" i="77" s="1"/>
  <c r="J21" i="77"/>
  <c r="M21" i="77" s="1"/>
  <c r="R21" i="77" s="1"/>
  <c r="T21" i="77" s="1"/>
  <c r="J22" i="77"/>
  <c r="M22" i="77" s="1"/>
  <c r="R22" i="77" s="1"/>
  <c r="T22" i="77" s="1"/>
  <c r="J23" i="77"/>
  <c r="M23" i="77" s="1"/>
  <c r="R23" i="77" s="1"/>
  <c r="T23" i="77" s="1"/>
  <c r="J24" i="77"/>
  <c r="M24" i="77" s="1"/>
  <c r="R24" i="77" s="1"/>
  <c r="T24" i="77" s="1"/>
  <c r="H7" i="77"/>
  <c r="H5" i="77"/>
  <c r="C242" i="68"/>
  <c r="C74" i="68"/>
  <c r="F32" i="82"/>
  <c r="G189" i="75" s="1"/>
  <c r="H189" i="75" s="1"/>
  <c r="D95" i="68" s="1"/>
  <c r="K114" i="75"/>
  <c r="K144" i="75"/>
  <c r="K145" i="75"/>
  <c r="H206" i="75"/>
  <c r="H144" i="75"/>
  <c r="H114" i="75"/>
  <c r="H113" i="75"/>
  <c r="D21" i="86"/>
  <c r="D20" i="86"/>
  <c r="D18" i="86"/>
  <c r="D17" i="86"/>
  <c r="D15" i="86"/>
  <c r="D14" i="86"/>
  <c r="D9" i="86"/>
  <c r="D8" i="86"/>
  <c r="D4" i="86"/>
  <c r="D5" i="86"/>
  <c r="D6" i="86"/>
  <c r="D3" i="86"/>
  <c r="F30" i="75"/>
  <c r="J27" i="85"/>
  <c r="K27" i="85" s="1"/>
  <c r="G27" i="85"/>
  <c r="D27" i="85"/>
  <c r="J26" i="85"/>
  <c r="G26" i="85"/>
  <c r="D26" i="85"/>
  <c r="J25" i="85"/>
  <c r="G25" i="85"/>
  <c r="D25" i="85"/>
  <c r="J24" i="85"/>
  <c r="G24" i="85"/>
  <c r="D24" i="85"/>
  <c r="J23" i="85"/>
  <c r="K23" i="85" s="1"/>
  <c r="G23" i="85"/>
  <c r="D23" i="85"/>
  <c r="J22" i="85"/>
  <c r="G22" i="85"/>
  <c r="D22" i="85"/>
  <c r="J21" i="85"/>
  <c r="K21" i="85" s="1"/>
  <c r="G21" i="85"/>
  <c r="D21" i="85"/>
  <c r="J14" i="85"/>
  <c r="G14" i="85"/>
  <c r="D14" i="85"/>
  <c r="J13" i="85"/>
  <c r="K13" i="85" s="1"/>
  <c r="G13" i="85"/>
  <c r="D13" i="85"/>
  <c r="J12" i="85"/>
  <c r="G12" i="85"/>
  <c r="D12" i="85"/>
  <c r="J11" i="85"/>
  <c r="K11" i="85" s="1"/>
  <c r="G11" i="85"/>
  <c r="D11" i="85"/>
  <c r="J10" i="85"/>
  <c r="G10" i="85"/>
  <c r="D10" i="85"/>
  <c r="J9" i="85"/>
  <c r="K9" i="85" s="1"/>
  <c r="G9" i="85"/>
  <c r="D9" i="85"/>
  <c r="J8" i="85"/>
  <c r="G8" i="85"/>
  <c r="D8" i="85"/>
  <c r="H11" i="77"/>
  <c r="H10" i="77"/>
  <c r="H9" i="77"/>
  <c r="H8" i="77"/>
  <c r="E166" i="73"/>
  <c r="D166" i="73"/>
  <c r="D160" i="73"/>
  <c r="D159" i="73"/>
  <c r="D158" i="73"/>
  <c r="D157" i="73"/>
  <c r="D155" i="73"/>
  <c r="D153" i="73"/>
  <c r="E137" i="73"/>
  <c r="D137" i="73"/>
  <c r="D130" i="73"/>
  <c r="D128" i="73"/>
  <c r="D127" i="73"/>
  <c r="D126" i="73"/>
  <c r="D124" i="73"/>
  <c r="C109" i="73"/>
  <c r="E108" i="73"/>
  <c r="D108" i="73"/>
  <c r="D103" i="73"/>
  <c r="D101" i="73"/>
  <c r="D100" i="73"/>
  <c r="D99" i="73"/>
  <c r="D98" i="73"/>
  <c r="D97" i="73"/>
  <c r="E80" i="73"/>
  <c r="D80" i="73"/>
  <c r="D75" i="73"/>
  <c r="D74" i="73"/>
  <c r="D72" i="73"/>
  <c r="E51" i="73"/>
  <c r="D51" i="73"/>
  <c r="D45" i="73"/>
  <c r="D44" i="73"/>
  <c r="D43" i="73"/>
  <c r="D40" i="73"/>
  <c r="D39" i="73"/>
  <c r="E22" i="73"/>
  <c r="D22" i="73"/>
  <c r="D16" i="73"/>
  <c r="D15" i="73"/>
  <c r="D11" i="73"/>
  <c r="D10" i="73"/>
  <c r="C116" i="68"/>
  <c r="C284" i="68"/>
  <c r="C267" i="68"/>
  <c r="C225" i="68"/>
  <c r="C183" i="68"/>
  <c r="C141" i="68"/>
  <c r="C99" i="68"/>
  <c r="C57" i="68"/>
  <c r="C15" i="68"/>
  <c r="C137" i="68"/>
  <c r="C265" i="68"/>
  <c r="C270" i="68" s="1"/>
  <c r="C223" i="68"/>
  <c r="C228" i="68" s="1"/>
  <c r="C181" i="68"/>
  <c r="C186" i="68" s="1"/>
  <c r="C139" i="68"/>
  <c r="C144" i="68" s="1"/>
  <c r="C97" i="68"/>
  <c r="C102" i="68" s="1"/>
  <c r="C55" i="68"/>
  <c r="C63" i="68" s="1"/>
  <c r="C62" i="68" s="1"/>
  <c r="C13" i="68"/>
  <c r="C21" i="68" s="1"/>
  <c r="K203" i="75"/>
  <c r="F34" i="75"/>
  <c r="G34" i="75"/>
  <c r="F66" i="75"/>
  <c r="G66" i="75"/>
  <c r="F98" i="75"/>
  <c r="G98" i="75"/>
  <c r="F129" i="75"/>
  <c r="G129" i="75"/>
  <c r="F159" i="75"/>
  <c r="G159" i="75"/>
  <c r="F191" i="75"/>
  <c r="G191" i="75"/>
  <c r="F219" i="75"/>
  <c r="G219" i="75"/>
  <c r="E217" i="75"/>
  <c r="C221" i="68" s="1"/>
  <c r="E216" i="75"/>
  <c r="E215" i="75"/>
  <c r="E204" i="75"/>
  <c r="E205" i="75"/>
  <c r="E207" i="75"/>
  <c r="E208" i="75"/>
  <c r="E209" i="75"/>
  <c r="E210" i="75"/>
  <c r="E211" i="75"/>
  <c r="E203" i="75"/>
  <c r="E178" i="75"/>
  <c r="E179" i="75"/>
  <c r="E180" i="75"/>
  <c r="E181" i="75"/>
  <c r="E182" i="75"/>
  <c r="E183" i="75"/>
  <c r="E184" i="75"/>
  <c r="E186" i="75"/>
  <c r="E187" i="75"/>
  <c r="E188" i="75"/>
  <c r="E189" i="75"/>
  <c r="C95" i="68" s="1"/>
  <c r="E171" i="75"/>
  <c r="E142" i="75"/>
  <c r="E143" i="75"/>
  <c r="E152" i="75"/>
  <c r="E154" i="75"/>
  <c r="E155" i="75"/>
  <c r="E156" i="75"/>
  <c r="E141" i="75"/>
  <c r="E111" i="75"/>
  <c r="E112" i="75"/>
  <c r="E113" i="75"/>
  <c r="E115" i="75"/>
  <c r="E116" i="75"/>
  <c r="E117" i="75"/>
  <c r="E118" i="75"/>
  <c r="E119" i="75"/>
  <c r="E120" i="75"/>
  <c r="E121" i="75"/>
  <c r="E124" i="75"/>
  <c r="E125" i="75"/>
  <c r="C180" i="68" s="1"/>
  <c r="E126" i="75"/>
  <c r="E127" i="75"/>
  <c r="C179" i="68" s="1"/>
  <c r="E110" i="75"/>
  <c r="E89" i="75"/>
  <c r="E90" i="75"/>
  <c r="E91" i="75"/>
  <c r="E93" i="75"/>
  <c r="E94" i="75"/>
  <c r="C54" i="68" s="1"/>
  <c r="E95" i="75"/>
  <c r="E96" i="75"/>
  <c r="C53" i="68" s="1"/>
  <c r="E85" i="75"/>
  <c r="E86" i="75"/>
  <c r="E87" i="75"/>
  <c r="E88" i="75"/>
  <c r="E78" i="75"/>
  <c r="E48" i="75"/>
  <c r="E52" i="75"/>
  <c r="E61" i="75"/>
  <c r="E62" i="75"/>
  <c r="E63" i="75"/>
  <c r="E64" i="75"/>
  <c r="C11" i="68" s="1"/>
  <c r="E46" i="75"/>
  <c r="K27" i="75"/>
  <c r="K85" i="75"/>
  <c r="K86" i="75"/>
  <c r="K87" i="75"/>
  <c r="K88" i="75"/>
  <c r="K110" i="75"/>
  <c r="K113" i="75"/>
  <c r="K115" i="75"/>
  <c r="K116" i="75"/>
  <c r="K117" i="75"/>
  <c r="K118" i="75"/>
  <c r="K141" i="75"/>
  <c r="K146" i="75"/>
  <c r="K147" i="75"/>
  <c r="K148" i="75"/>
  <c r="K178" i="75"/>
  <c r="K179" i="75"/>
  <c r="K180" i="75"/>
  <c r="K181" i="75"/>
  <c r="K182" i="75"/>
  <c r="K212" i="75"/>
  <c r="K207" i="75"/>
  <c r="K208" i="75"/>
  <c r="K209" i="75"/>
  <c r="K210" i="75"/>
  <c r="E30" i="75"/>
  <c r="C264" i="68" s="1"/>
  <c r="E29" i="75"/>
  <c r="E26" i="75"/>
  <c r="E25" i="75"/>
  <c r="E24" i="75"/>
  <c r="E23" i="75"/>
  <c r="E17" i="75"/>
  <c r="K18" i="75"/>
  <c r="K19" i="75"/>
  <c r="K20" i="75"/>
  <c r="K21" i="75"/>
  <c r="K22" i="75"/>
  <c r="K53" i="75"/>
  <c r="K54" i="75"/>
  <c r="K55" i="75"/>
  <c r="K56" i="75"/>
  <c r="K57" i="75"/>
  <c r="K58" i="75"/>
  <c r="C32" i="75"/>
  <c r="E32" i="75" s="1"/>
  <c r="D31" i="75"/>
  <c r="E31" i="75" s="1"/>
  <c r="D22" i="75"/>
  <c r="C22" i="75"/>
  <c r="D21" i="75"/>
  <c r="C21" i="75"/>
  <c r="D20" i="75"/>
  <c r="C20" i="75"/>
  <c r="D19" i="75"/>
  <c r="E19" i="75" s="1"/>
  <c r="D18" i="75"/>
  <c r="C18" i="75"/>
  <c r="D10" i="75"/>
  <c r="E10" i="75" s="1"/>
  <c r="D9" i="75"/>
  <c r="C9" i="75"/>
  <c r="E75" i="84"/>
  <c r="G74" i="84"/>
  <c r="H74" i="84" s="1"/>
  <c r="I74" i="84" s="1"/>
  <c r="J74" i="84" s="1"/>
  <c r="G73" i="84"/>
  <c r="H73" i="84" s="1"/>
  <c r="I73" i="84" s="1"/>
  <c r="J73" i="84" s="1"/>
  <c r="G72" i="84"/>
  <c r="H72" i="84" s="1"/>
  <c r="I72" i="84" s="1"/>
  <c r="J72" i="84" s="1"/>
  <c r="G71" i="84"/>
  <c r="H71" i="84" s="1"/>
  <c r="I71" i="84" s="1"/>
  <c r="J71" i="84" s="1"/>
  <c r="G70" i="84"/>
  <c r="J69" i="84"/>
  <c r="E68" i="84"/>
  <c r="E48" i="84" s="1"/>
  <c r="D68" i="84"/>
  <c r="G67" i="84"/>
  <c r="H67" i="84" s="1"/>
  <c r="I67" i="84" s="1"/>
  <c r="J67" i="84" s="1"/>
  <c r="G66" i="84"/>
  <c r="H66" i="84" s="1"/>
  <c r="I66" i="84" s="1"/>
  <c r="J66" i="84" s="1"/>
  <c r="G65" i="84"/>
  <c r="H65" i="84" s="1"/>
  <c r="J64" i="84"/>
  <c r="J63" i="84"/>
  <c r="D62" i="84"/>
  <c r="G61" i="84"/>
  <c r="H61" i="84" s="1"/>
  <c r="I61" i="84" s="1"/>
  <c r="J61" i="84" s="1"/>
  <c r="G60" i="84"/>
  <c r="H60" i="84" s="1"/>
  <c r="I60" i="84" s="1"/>
  <c r="J60" i="84" s="1"/>
  <c r="G59" i="84"/>
  <c r="J58" i="84"/>
  <c r="H58" i="84"/>
  <c r="J57" i="84"/>
  <c r="E56" i="84"/>
  <c r="G55" i="84"/>
  <c r="H55" i="84" s="1"/>
  <c r="I55" i="84" s="1"/>
  <c r="G54" i="84"/>
  <c r="H54" i="84" s="1"/>
  <c r="I54" i="84" s="1"/>
  <c r="G53" i="84"/>
  <c r="H53" i="84" s="1"/>
  <c r="I53" i="84" s="1"/>
  <c r="G52" i="84"/>
  <c r="H52" i="84" s="1"/>
  <c r="I52" i="84" s="1"/>
  <c r="G51" i="84"/>
  <c r="H51" i="84" s="1"/>
  <c r="I51" i="84" s="1"/>
  <c r="G50" i="84"/>
  <c r="H50" i="84" s="1"/>
  <c r="I50" i="84" s="1"/>
  <c r="H49" i="84"/>
  <c r="E40" i="84"/>
  <c r="G39" i="84"/>
  <c r="H39" i="84" s="1"/>
  <c r="I39" i="84" s="1"/>
  <c r="J39" i="84" s="1"/>
  <c r="G38" i="84"/>
  <c r="H38" i="84" s="1"/>
  <c r="I38" i="84" s="1"/>
  <c r="J38" i="84" s="1"/>
  <c r="G37" i="84"/>
  <c r="G40" i="84" s="1"/>
  <c r="J36" i="84"/>
  <c r="J35" i="84"/>
  <c r="E34" i="84"/>
  <c r="G33" i="84"/>
  <c r="H33" i="84" s="1"/>
  <c r="H34" i="84" s="1"/>
  <c r="J32" i="84"/>
  <c r="E31" i="84"/>
  <c r="G30" i="84"/>
  <c r="H30" i="84" s="1"/>
  <c r="E20" i="84"/>
  <c r="G19" i="84"/>
  <c r="H19" i="84" s="1"/>
  <c r="I19" i="84" s="1"/>
  <c r="G18" i="84"/>
  <c r="H18" i="84" s="1"/>
  <c r="I18" i="84" s="1"/>
  <c r="G17" i="84"/>
  <c r="E14" i="84"/>
  <c r="G13" i="84"/>
  <c r="G14" i="84" s="1"/>
  <c r="E12" i="84"/>
  <c r="G11" i="84"/>
  <c r="H11" i="84"/>
  <c r="I11" i="84" s="1"/>
  <c r="G10" i="84"/>
  <c r="N18" i="79"/>
  <c r="O18" i="79" s="1"/>
  <c r="N19" i="79"/>
  <c r="O19" i="79" s="1"/>
  <c r="N20" i="79"/>
  <c r="O20" i="79" s="1"/>
  <c r="N21" i="79"/>
  <c r="O21" i="79" s="1"/>
  <c r="N22" i="79"/>
  <c r="O22" i="79" s="1"/>
  <c r="N23" i="79"/>
  <c r="O23" i="79" s="1"/>
  <c r="N24" i="79"/>
  <c r="O24" i="79" s="1"/>
  <c r="N25" i="79"/>
  <c r="O25" i="79" s="1"/>
  <c r="N26" i="79"/>
  <c r="O26" i="79" s="1"/>
  <c r="G35" i="79"/>
  <c r="H35" i="79" s="1"/>
  <c r="O35" i="79" s="1"/>
  <c r="C35" i="79"/>
  <c r="A35" i="79"/>
  <c r="G34" i="79"/>
  <c r="H34" i="79"/>
  <c r="O34" i="79" s="1"/>
  <c r="C34" i="79"/>
  <c r="B34" i="79"/>
  <c r="A34" i="79"/>
  <c r="G31" i="79"/>
  <c r="H31" i="79" s="1"/>
  <c r="O31" i="79" s="1"/>
  <c r="G32" i="79"/>
  <c r="H32" i="79" s="1"/>
  <c r="O32" i="79" s="1"/>
  <c r="G30" i="79"/>
  <c r="H30" i="79" s="1"/>
  <c r="O30" i="79" s="1"/>
  <c r="C32" i="79"/>
  <c r="C31" i="79"/>
  <c r="C30" i="79"/>
  <c r="B31" i="79"/>
  <c r="A32" i="79"/>
  <c r="A31" i="79"/>
  <c r="A30" i="79"/>
  <c r="G28" i="79"/>
  <c r="H28" i="79" s="1"/>
  <c r="O28" i="79" s="1"/>
  <c r="G27" i="79"/>
  <c r="H27" i="79" s="1"/>
  <c r="O27" i="79" s="1"/>
  <c r="D18" i="79"/>
  <c r="E18" i="79" s="1"/>
  <c r="D19" i="79"/>
  <c r="E19" i="79" s="1"/>
  <c r="D20" i="79"/>
  <c r="E20" i="79" s="1"/>
  <c r="D21" i="79"/>
  <c r="E21" i="79" s="1"/>
  <c r="D22" i="79"/>
  <c r="E22" i="79" s="1"/>
  <c r="D23" i="79"/>
  <c r="E23" i="79" s="1"/>
  <c r="D24" i="79"/>
  <c r="E24" i="79" s="1"/>
  <c r="D25" i="79"/>
  <c r="E25" i="79" s="1"/>
  <c r="D26" i="79"/>
  <c r="E26" i="79" s="1"/>
  <c r="C28" i="79"/>
  <c r="C27" i="79"/>
  <c r="A28" i="79"/>
  <c r="A27" i="79"/>
  <c r="G9" i="79"/>
  <c r="H9" i="79" s="1"/>
  <c r="O9" i="79" s="1"/>
  <c r="G11" i="79"/>
  <c r="H11" i="79" s="1"/>
  <c r="O11" i="79" s="1"/>
  <c r="G12" i="79"/>
  <c r="H12" i="79" s="1"/>
  <c r="O12" i="79" s="1"/>
  <c r="G13" i="79"/>
  <c r="H13" i="79" s="1"/>
  <c r="O13" i="79" s="1"/>
  <c r="G14" i="79"/>
  <c r="H14" i="79" s="1"/>
  <c r="O14" i="79" s="1"/>
  <c r="G8" i="79"/>
  <c r="H8" i="79"/>
  <c r="O8" i="79" s="1"/>
  <c r="F16" i="79"/>
  <c r="G16" i="79" s="1"/>
  <c r="H16" i="79" s="1"/>
  <c r="O16" i="79" s="1"/>
  <c r="F15" i="79"/>
  <c r="G15" i="79" s="1"/>
  <c r="H15" i="79" s="1"/>
  <c r="O15" i="79" s="1"/>
  <c r="C15" i="79"/>
  <c r="C16" i="79"/>
  <c r="G157" i="75"/>
  <c r="H157" i="75" s="1"/>
  <c r="D137" i="68" s="1"/>
  <c r="F10" i="79"/>
  <c r="G10" i="79" s="1"/>
  <c r="H10" i="79" s="1"/>
  <c r="O10" i="79" s="1"/>
  <c r="F257" i="68"/>
  <c r="F258" i="68"/>
  <c r="F259" i="68"/>
  <c r="F260" i="68"/>
  <c r="F261" i="68"/>
  <c r="F262" i="68"/>
  <c r="F263" i="68"/>
  <c r="F264" i="68"/>
  <c r="F265" i="68"/>
  <c r="F266" i="68"/>
  <c r="F267" i="68"/>
  <c r="F268" i="68"/>
  <c r="F269" i="68"/>
  <c r="F270" i="68"/>
  <c r="F271" i="68"/>
  <c r="F272" i="68"/>
  <c r="F273" i="68"/>
  <c r="F274" i="68"/>
  <c r="F275" i="68"/>
  <c r="F276" i="68"/>
  <c r="F277" i="68"/>
  <c r="F278" i="68"/>
  <c r="F279" i="68"/>
  <c r="F280" i="68"/>
  <c r="F281" i="68"/>
  <c r="F282" i="68"/>
  <c r="F283" i="68"/>
  <c r="F284" i="68"/>
  <c r="F285" i="68"/>
  <c r="F286" i="68"/>
  <c r="F287" i="68"/>
  <c r="F288" i="68"/>
  <c r="F289" i="68"/>
  <c r="F290" i="68"/>
  <c r="F291" i="68"/>
  <c r="F292" i="68"/>
  <c r="F293" i="68"/>
  <c r="F294" i="68"/>
  <c r="F295" i="68"/>
  <c r="D284" i="68"/>
  <c r="F215" i="68"/>
  <c r="F216" i="68"/>
  <c r="F217" i="68"/>
  <c r="F218" i="68"/>
  <c r="F219" i="68"/>
  <c r="F220" i="68"/>
  <c r="F221" i="68"/>
  <c r="F222" i="68"/>
  <c r="F223" i="68"/>
  <c r="F224" i="68"/>
  <c r="F225" i="68"/>
  <c r="F226" i="68"/>
  <c r="F227" i="68"/>
  <c r="F228" i="68"/>
  <c r="F229" i="68"/>
  <c r="F230" i="68"/>
  <c r="F231" i="68"/>
  <c r="F232" i="68"/>
  <c r="F233" i="68"/>
  <c r="F234" i="68"/>
  <c r="F235" i="68"/>
  <c r="F236" i="68"/>
  <c r="F237" i="68"/>
  <c r="F238" i="68"/>
  <c r="F239" i="68"/>
  <c r="F240" i="68"/>
  <c r="F241" i="68"/>
  <c r="F242" i="68"/>
  <c r="F243" i="68"/>
  <c r="F244" i="68"/>
  <c r="F245" i="68"/>
  <c r="F246" i="68"/>
  <c r="F247" i="68"/>
  <c r="F248" i="68"/>
  <c r="F249" i="68"/>
  <c r="F250" i="68"/>
  <c r="F251" i="68"/>
  <c r="F252" i="68"/>
  <c r="F253" i="68"/>
  <c r="F173" i="68"/>
  <c r="F174" i="68"/>
  <c r="F175" i="68"/>
  <c r="F176" i="68"/>
  <c r="F177" i="68"/>
  <c r="F178" i="68"/>
  <c r="F179" i="68"/>
  <c r="F180" i="68"/>
  <c r="F181" i="68"/>
  <c r="F182" i="68"/>
  <c r="F183" i="68"/>
  <c r="F184" i="68"/>
  <c r="F185" i="68"/>
  <c r="F186" i="68"/>
  <c r="F187" i="68"/>
  <c r="F188" i="68"/>
  <c r="F189" i="68"/>
  <c r="F190" i="68"/>
  <c r="F191" i="68"/>
  <c r="F192" i="68"/>
  <c r="F193" i="68"/>
  <c r="F194" i="68"/>
  <c r="F195" i="68"/>
  <c r="F196" i="68"/>
  <c r="F197" i="68"/>
  <c r="F198" i="68"/>
  <c r="F199" i="68"/>
  <c r="F200" i="68"/>
  <c r="F201" i="68"/>
  <c r="F202" i="68"/>
  <c r="F203" i="68"/>
  <c r="F204" i="68"/>
  <c r="F205" i="68"/>
  <c r="F206" i="68"/>
  <c r="F207" i="68"/>
  <c r="F208" i="68"/>
  <c r="F209" i="68"/>
  <c r="F210" i="68"/>
  <c r="F211" i="68"/>
  <c r="C200" i="68"/>
  <c r="F169" i="68"/>
  <c r="F131" i="68"/>
  <c r="F132" i="68"/>
  <c r="F133" i="68"/>
  <c r="F134" i="68"/>
  <c r="F135" i="68"/>
  <c r="F136" i="68"/>
  <c r="F137" i="68"/>
  <c r="F138" i="68"/>
  <c r="F139" i="68"/>
  <c r="F140" i="68"/>
  <c r="F141" i="68"/>
  <c r="F142" i="68"/>
  <c r="F143" i="68"/>
  <c r="F144" i="68"/>
  <c r="F145" i="68"/>
  <c r="F146" i="68"/>
  <c r="F147" i="68"/>
  <c r="F148" i="68"/>
  <c r="F149" i="68"/>
  <c r="F150" i="68"/>
  <c r="F151" i="68"/>
  <c r="F152" i="68"/>
  <c r="F153" i="68"/>
  <c r="F154" i="68"/>
  <c r="F155" i="68"/>
  <c r="F156" i="68"/>
  <c r="F157" i="68"/>
  <c r="F158" i="68"/>
  <c r="F159" i="68"/>
  <c r="F160" i="68"/>
  <c r="F161" i="68"/>
  <c r="F162" i="68"/>
  <c r="F163" i="68"/>
  <c r="F164" i="68"/>
  <c r="F165" i="68"/>
  <c r="F166" i="68"/>
  <c r="F167" i="68"/>
  <c r="F168" i="68"/>
  <c r="C158" i="68"/>
  <c r="F89" i="68"/>
  <c r="F90" i="68"/>
  <c r="F91" i="68"/>
  <c r="F92" i="68"/>
  <c r="F93" i="68"/>
  <c r="F94" i="68"/>
  <c r="F95" i="68"/>
  <c r="F96" i="68"/>
  <c r="F97" i="68"/>
  <c r="F98" i="68"/>
  <c r="F99" i="68"/>
  <c r="F100" i="68"/>
  <c r="F101" i="68"/>
  <c r="F102" i="68"/>
  <c r="F103" i="68"/>
  <c r="F104" i="68"/>
  <c r="F105" i="68"/>
  <c r="F106" i="68"/>
  <c r="F107" i="68"/>
  <c r="F108" i="68"/>
  <c r="F109" i="68"/>
  <c r="F110" i="68"/>
  <c r="F111" i="68"/>
  <c r="F112" i="68"/>
  <c r="F113" i="68"/>
  <c r="F114" i="68"/>
  <c r="F115" i="68"/>
  <c r="F116" i="68"/>
  <c r="F117" i="68"/>
  <c r="F118" i="68"/>
  <c r="F119" i="68"/>
  <c r="F120" i="68"/>
  <c r="F121" i="68"/>
  <c r="F122" i="68"/>
  <c r="F123" i="68"/>
  <c r="F124" i="68"/>
  <c r="F125" i="68"/>
  <c r="F126" i="68"/>
  <c r="F127" i="68"/>
  <c r="F47" i="68"/>
  <c r="F48" i="68"/>
  <c r="F49" i="68"/>
  <c r="F50" i="68"/>
  <c r="F51" i="68"/>
  <c r="F52" i="68"/>
  <c r="F53" i="68"/>
  <c r="F54" i="68"/>
  <c r="F55" i="68"/>
  <c r="F56" i="68"/>
  <c r="F57" i="68"/>
  <c r="F58" i="68"/>
  <c r="F59" i="68"/>
  <c r="F60" i="68"/>
  <c r="F61" i="68"/>
  <c r="F62" i="68"/>
  <c r="F63" i="68"/>
  <c r="F64" i="68"/>
  <c r="F65" i="68"/>
  <c r="F66" i="68"/>
  <c r="F67" i="68"/>
  <c r="F68" i="68"/>
  <c r="F69" i="68"/>
  <c r="F70" i="68"/>
  <c r="F71" i="68"/>
  <c r="F72" i="68"/>
  <c r="F73" i="68"/>
  <c r="F74" i="68"/>
  <c r="F75" i="68"/>
  <c r="F76" i="68"/>
  <c r="F77" i="68"/>
  <c r="F78" i="68"/>
  <c r="F79" i="68"/>
  <c r="F80" i="68"/>
  <c r="F81" i="68"/>
  <c r="F82" i="68"/>
  <c r="F83" i="68"/>
  <c r="F84" i="68"/>
  <c r="F85" i="68"/>
  <c r="F5" i="68"/>
  <c r="F6" i="68"/>
  <c r="F7" i="68"/>
  <c r="F8" i="68"/>
  <c r="F9" i="68"/>
  <c r="F10" i="68"/>
  <c r="F11" i="68"/>
  <c r="F12" i="68"/>
  <c r="F13" i="68"/>
  <c r="F14" i="68"/>
  <c r="F15" i="68"/>
  <c r="F16" i="68"/>
  <c r="F17" i="68"/>
  <c r="F18" i="68"/>
  <c r="F19" i="68"/>
  <c r="F20" i="68"/>
  <c r="F21" i="68"/>
  <c r="F22" i="68"/>
  <c r="F23" i="68"/>
  <c r="F24" i="68"/>
  <c r="F25" i="68"/>
  <c r="F26" i="68"/>
  <c r="F27" i="68"/>
  <c r="F28" i="68"/>
  <c r="F29" i="68"/>
  <c r="F30" i="68"/>
  <c r="F31" i="68"/>
  <c r="F32" i="68"/>
  <c r="F33" i="68"/>
  <c r="F34" i="68"/>
  <c r="F35" i="68"/>
  <c r="F36" i="68"/>
  <c r="F37" i="68"/>
  <c r="F38" i="68"/>
  <c r="F39" i="68"/>
  <c r="F40" i="68"/>
  <c r="F41" i="68"/>
  <c r="F42" i="68"/>
  <c r="F43" i="68"/>
  <c r="G217" i="75"/>
  <c r="H217" i="75" s="1"/>
  <c r="K211" i="75"/>
  <c r="K183" i="75"/>
  <c r="K149" i="75"/>
  <c r="K150" i="75"/>
  <c r="K151" i="75"/>
  <c r="H48" i="75"/>
  <c r="E154" i="27"/>
  <c r="K122" i="75"/>
  <c r="H112" i="75"/>
  <c r="H111" i="75" s="1"/>
  <c r="K112" i="75"/>
  <c r="K119" i="75"/>
  <c r="K120" i="75"/>
  <c r="K121" i="75"/>
  <c r="K89" i="75"/>
  <c r="K90" i="75"/>
  <c r="K59" i="75"/>
  <c r="L52" i="75"/>
  <c r="M52" i="75"/>
  <c r="N52" i="75"/>
  <c r="O52" i="75"/>
  <c r="K23" i="75"/>
  <c r="K24" i="75"/>
  <c r="K25" i="75"/>
  <c r="H46" i="75"/>
  <c r="G13" i="82"/>
  <c r="H184" i="75"/>
  <c r="H91" i="75"/>
  <c r="A3" i="79"/>
  <c r="H152" i="75"/>
  <c r="K26" i="75"/>
  <c r="M99" i="45"/>
  <c r="N99" i="45" s="1"/>
  <c r="G215" i="75"/>
  <c r="H215" i="75" s="1"/>
  <c r="H216" i="75"/>
  <c r="H188" i="75"/>
  <c r="H156" i="75"/>
  <c r="G321" i="80"/>
  <c r="B2" i="83"/>
  <c r="D200" i="68"/>
  <c r="D158" i="68"/>
  <c r="H205" i="75"/>
  <c r="H204" i="75" s="1"/>
  <c r="H52" i="75"/>
  <c r="H47" i="75" s="1"/>
  <c r="H17" i="75"/>
  <c r="H78" i="75"/>
  <c r="H126" i="75"/>
  <c r="D178" i="68" s="1"/>
  <c r="H95" i="75"/>
  <c r="D52" i="68" s="1"/>
  <c r="H63" i="75"/>
  <c r="D10" i="68" s="1"/>
  <c r="H31" i="75"/>
  <c r="D17" i="82"/>
  <c r="D16" i="82"/>
  <c r="M96" i="45"/>
  <c r="M93" i="45"/>
  <c r="M90" i="45"/>
  <c r="M87" i="45"/>
  <c r="N87" i="45" s="1"/>
  <c r="M84" i="45"/>
  <c r="M81" i="45"/>
  <c r="M78" i="45"/>
  <c r="M75" i="45"/>
  <c r="M72" i="45"/>
  <c r="M69" i="45"/>
  <c r="M66" i="45"/>
  <c r="M63" i="45"/>
  <c r="N63" i="45" s="1"/>
  <c r="M58" i="45"/>
  <c r="M54" i="45"/>
  <c r="M50" i="45"/>
  <c r="M44" i="45"/>
  <c r="N44" i="45" s="1"/>
  <c r="M37" i="45"/>
  <c r="M32" i="45"/>
  <c r="M29" i="45"/>
  <c r="M38" i="45"/>
  <c r="M16" i="45"/>
  <c r="M59" i="45"/>
  <c r="M36" i="45"/>
  <c r="M62" i="45"/>
  <c r="M57" i="45"/>
  <c r="M53" i="45"/>
  <c r="M48" i="45"/>
  <c r="M42" i="45"/>
  <c r="M108" i="45"/>
  <c r="M106" i="45"/>
  <c r="M103" i="45"/>
  <c r="M100" i="45"/>
  <c r="M97" i="45"/>
  <c r="M94" i="45"/>
  <c r="M91" i="45"/>
  <c r="M88" i="45"/>
  <c r="M85" i="45"/>
  <c r="M82" i="45"/>
  <c r="M79" i="45"/>
  <c r="M76" i="45"/>
  <c r="M73" i="45"/>
  <c r="M70" i="45"/>
  <c r="M67" i="45"/>
  <c r="M64" i="45"/>
  <c r="M60" i="45"/>
  <c r="M55" i="45"/>
  <c r="M51" i="45"/>
  <c r="M47" i="45"/>
  <c r="M45" i="45"/>
  <c r="M43" i="45"/>
  <c r="M41" i="45"/>
  <c r="M39" i="45"/>
  <c r="M35" i="45"/>
  <c r="M33" i="45"/>
  <c r="M30" i="45"/>
  <c r="M26" i="45"/>
  <c r="M25" i="45"/>
  <c r="M23" i="45"/>
  <c r="M21" i="45"/>
  <c r="M19" i="45"/>
  <c r="M17" i="45"/>
  <c r="M15" i="45"/>
  <c r="M14" i="45"/>
  <c r="M13" i="45"/>
  <c r="M12" i="45"/>
  <c r="M11" i="45"/>
  <c r="M10" i="45"/>
  <c r="M9" i="45"/>
  <c r="G11" i="57"/>
  <c r="G10" i="57"/>
  <c r="G9" i="57"/>
  <c r="G8" i="57"/>
  <c r="I8" i="57" s="1"/>
  <c r="G7" i="57"/>
  <c r="M24" i="79"/>
  <c r="M22" i="79"/>
  <c r="M21" i="79"/>
  <c r="M13" i="79"/>
  <c r="M12" i="79"/>
  <c r="M11" i="79"/>
  <c r="M10" i="79"/>
  <c r="M9" i="79"/>
  <c r="M8" i="79"/>
  <c r="I30" i="78"/>
  <c r="I29" i="78"/>
  <c r="I28" i="78"/>
  <c r="I27" i="78"/>
  <c r="I26" i="78"/>
  <c r="I25" i="78"/>
  <c r="I24" i="78"/>
  <c r="I23" i="78"/>
  <c r="I22" i="78"/>
  <c r="I21" i="78"/>
  <c r="I20" i="78"/>
  <c r="I19" i="78"/>
  <c r="I18" i="78"/>
  <c r="I17" i="78"/>
  <c r="I16" i="78"/>
  <c r="I15" i="78"/>
  <c r="I14" i="78"/>
  <c r="I13" i="78"/>
  <c r="I12" i="78"/>
  <c r="I13" i="77"/>
  <c r="I12" i="57"/>
  <c r="I13" i="57"/>
  <c r="I14" i="57"/>
  <c r="I15" i="57"/>
  <c r="I16" i="57"/>
  <c r="I17" i="57"/>
  <c r="I18" i="57"/>
  <c r="I19" i="57"/>
  <c r="I20" i="57"/>
  <c r="I21" i="57"/>
  <c r="I22" i="57"/>
  <c r="I23" i="57"/>
  <c r="I24" i="57"/>
  <c r="I25" i="57"/>
  <c r="I26" i="57"/>
  <c r="I27" i="57"/>
  <c r="I28" i="57"/>
  <c r="I29" i="57"/>
  <c r="I30" i="57"/>
  <c r="H19" i="34"/>
  <c r="O6" i="34"/>
  <c r="Q5" i="34"/>
  <c r="K157" i="75"/>
  <c r="K96" i="75"/>
  <c r="K9" i="75"/>
  <c r="K10" i="75"/>
  <c r="K17" i="75"/>
  <c r="F9" i="75"/>
  <c r="H9" i="75" s="1"/>
  <c r="D279" i="68"/>
  <c r="H127" i="75"/>
  <c r="D179" i="68" s="1"/>
  <c r="D195" i="68"/>
  <c r="D141" i="68"/>
  <c r="D153" i="68"/>
  <c r="D225" i="68"/>
  <c r="D237" i="68"/>
  <c r="D69" i="68"/>
  <c r="D15" i="68"/>
  <c r="D27" i="68"/>
  <c r="H171" i="75"/>
  <c r="D99" i="68"/>
  <c r="D111" i="68"/>
  <c r="D23" i="68"/>
  <c r="I5" i="74"/>
  <c r="I6" i="74"/>
  <c r="I7" i="74"/>
  <c r="I8" i="74"/>
  <c r="I9" i="74"/>
  <c r="I10" i="74"/>
  <c r="I11" i="74"/>
  <c r="I12" i="74"/>
  <c r="I13" i="74"/>
  <c r="I14" i="74"/>
  <c r="I15" i="74"/>
  <c r="I16" i="74"/>
  <c r="I17" i="74"/>
  <c r="I18" i="74"/>
  <c r="I19" i="74"/>
  <c r="I20" i="74"/>
  <c r="I21" i="74"/>
  <c r="I22" i="74"/>
  <c r="I23" i="74"/>
  <c r="I24" i="74"/>
  <c r="I25" i="74"/>
  <c r="I26" i="74"/>
  <c r="I27" i="74"/>
  <c r="I28" i="74"/>
  <c r="I4" i="74"/>
  <c r="D585" i="74"/>
  <c r="D584" i="74"/>
  <c r="D583" i="74"/>
  <c r="D582" i="74"/>
  <c r="D581" i="74"/>
  <c r="D580" i="74"/>
  <c r="D579" i="74"/>
  <c r="D578" i="74"/>
  <c r="D577" i="74"/>
  <c r="D576" i="74"/>
  <c r="D575" i="74"/>
  <c r="D574" i="74"/>
  <c r="D573" i="74"/>
  <c r="D572" i="74"/>
  <c r="D571" i="74"/>
  <c r="D570" i="74"/>
  <c r="D569" i="74"/>
  <c r="D568" i="74"/>
  <c r="D567" i="74"/>
  <c r="D566" i="74"/>
  <c r="D565" i="74"/>
  <c r="D564" i="74"/>
  <c r="D563" i="74"/>
  <c r="D562" i="74"/>
  <c r="D561" i="74"/>
  <c r="D560" i="74"/>
  <c r="D559" i="74"/>
  <c r="D558" i="74"/>
  <c r="D557" i="74"/>
  <c r="D556" i="74"/>
  <c r="D555" i="74"/>
  <c r="D554" i="74"/>
  <c r="D553" i="74"/>
  <c r="D552" i="74"/>
  <c r="D551" i="74"/>
  <c r="D550" i="74"/>
  <c r="D549" i="74"/>
  <c r="D548" i="74"/>
  <c r="D547" i="74"/>
  <c r="D546" i="74"/>
  <c r="D545" i="74"/>
  <c r="D544" i="74"/>
  <c r="D543" i="74"/>
  <c r="D542" i="74"/>
  <c r="D541" i="74"/>
  <c r="D540" i="74"/>
  <c r="D539" i="74"/>
  <c r="D538" i="74"/>
  <c r="D537" i="74"/>
  <c r="D536" i="74"/>
  <c r="D535" i="74"/>
  <c r="D534" i="74"/>
  <c r="D533" i="74"/>
  <c r="D532" i="74"/>
  <c r="D531" i="74"/>
  <c r="D530" i="74"/>
  <c r="D529" i="74"/>
  <c r="D528" i="74"/>
  <c r="D527" i="74"/>
  <c r="D526" i="74"/>
  <c r="D525" i="74"/>
  <c r="D524" i="74"/>
  <c r="D523" i="74"/>
  <c r="D522" i="74"/>
  <c r="D521" i="74"/>
  <c r="D520" i="74"/>
  <c r="D519" i="74"/>
  <c r="D518" i="74"/>
  <c r="D517" i="74"/>
  <c r="D516" i="74"/>
  <c r="D515" i="74"/>
  <c r="D514" i="74"/>
  <c r="D513" i="74"/>
  <c r="D512" i="74"/>
  <c r="D511" i="74"/>
  <c r="D510" i="74"/>
  <c r="D509" i="74"/>
  <c r="D508" i="74"/>
  <c r="D507" i="74"/>
  <c r="D506" i="74"/>
  <c r="D505" i="74"/>
  <c r="D504" i="74"/>
  <c r="D503" i="74"/>
  <c r="D502" i="74"/>
  <c r="D501" i="74"/>
  <c r="D500" i="74"/>
  <c r="D499" i="74"/>
  <c r="D498" i="74"/>
  <c r="D497" i="74"/>
  <c r="D496" i="74"/>
  <c r="D495" i="74"/>
  <c r="D494" i="74"/>
  <c r="D493" i="74"/>
  <c r="D492" i="74"/>
  <c r="D491" i="74"/>
  <c r="D490" i="74"/>
  <c r="D489" i="74"/>
  <c r="D488" i="74"/>
  <c r="D487" i="74"/>
  <c r="D486" i="74"/>
  <c r="D485" i="74"/>
  <c r="D484" i="74"/>
  <c r="D483" i="74"/>
  <c r="D482" i="74"/>
  <c r="D481" i="74"/>
  <c r="D480" i="74"/>
  <c r="D479" i="74"/>
  <c r="D478" i="74"/>
  <c r="D477" i="74"/>
  <c r="D476" i="74"/>
  <c r="D475" i="74"/>
  <c r="D474" i="74"/>
  <c r="D473" i="74"/>
  <c r="D472" i="74"/>
  <c r="D471" i="74"/>
  <c r="D470" i="74"/>
  <c r="D469" i="74"/>
  <c r="D468" i="74"/>
  <c r="D467" i="74"/>
  <c r="D466" i="74"/>
  <c r="D465" i="74"/>
  <c r="D464" i="74"/>
  <c r="D463" i="74"/>
  <c r="D462" i="74"/>
  <c r="D461" i="74"/>
  <c r="D460" i="74"/>
  <c r="D459" i="74"/>
  <c r="D458" i="74"/>
  <c r="D457" i="74"/>
  <c r="D456" i="74"/>
  <c r="D455" i="74"/>
  <c r="D454" i="74"/>
  <c r="D453" i="74"/>
  <c r="D452" i="74"/>
  <c r="D451" i="74"/>
  <c r="D450" i="74"/>
  <c r="D449" i="74"/>
  <c r="D448" i="74"/>
  <c r="D447" i="74"/>
  <c r="D446" i="74"/>
  <c r="D445" i="74"/>
  <c r="D444" i="74"/>
  <c r="D443" i="74"/>
  <c r="D442" i="74"/>
  <c r="D441" i="74"/>
  <c r="D440" i="74"/>
  <c r="D439" i="74"/>
  <c r="D438" i="74"/>
  <c r="D437" i="74"/>
  <c r="D436" i="74"/>
  <c r="D435" i="74"/>
  <c r="D434" i="74"/>
  <c r="D433" i="74"/>
  <c r="D432" i="74"/>
  <c r="D431" i="74"/>
  <c r="D430" i="74"/>
  <c r="D429" i="74"/>
  <c r="D428" i="74"/>
  <c r="D427" i="74"/>
  <c r="D426" i="74"/>
  <c r="D425" i="74"/>
  <c r="D424" i="74"/>
  <c r="D423" i="74"/>
  <c r="D422" i="74"/>
  <c r="D421" i="74"/>
  <c r="D420" i="74"/>
  <c r="D419" i="74"/>
  <c r="D418" i="74"/>
  <c r="D417" i="74"/>
  <c r="D416" i="74"/>
  <c r="D415" i="74"/>
  <c r="D414" i="74"/>
  <c r="D413" i="74"/>
  <c r="D412" i="74"/>
  <c r="D411" i="74"/>
  <c r="D410" i="74"/>
  <c r="D409" i="74"/>
  <c r="D408" i="74"/>
  <c r="D407" i="74"/>
  <c r="D406" i="74"/>
  <c r="D405" i="74"/>
  <c r="D404" i="74"/>
  <c r="D403" i="74"/>
  <c r="D402" i="74"/>
  <c r="D401" i="74"/>
  <c r="D400" i="74"/>
  <c r="D399" i="74"/>
  <c r="D398" i="74"/>
  <c r="D397" i="74"/>
  <c r="D396" i="74"/>
  <c r="D395" i="74"/>
  <c r="D394" i="74"/>
  <c r="D393" i="74"/>
  <c r="D392" i="74"/>
  <c r="D391" i="74"/>
  <c r="D390" i="74"/>
  <c r="D389" i="74"/>
  <c r="D388" i="74"/>
  <c r="D387" i="74"/>
  <c r="D386" i="74"/>
  <c r="D385" i="74"/>
  <c r="D384" i="74"/>
  <c r="D383" i="74"/>
  <c r="D382" i="74"/>
  <c r="D381" i="74"/>
  <c r="D380" i="74"/>
  <c r="D379" i="74"/>
  <c r="D378" i="74"/>
  <c r="D377" i="74"/>
  <c r="D376" i="74"/>
  <c r="D375" i="74"/>
  <c r="D374" i="74"/>
  <c r="D373" i="74"/>
  <c r="D372" i="74"/>
  <c r="D371" i="74"/>
  <c r="D370" i="74"/>
  <c r="D369" i="74"/>
  <c r="D368" i="74"/>
  <c r="D367" i="74"/>
  <c r="D366" i="74"/>
  <c r="D365" i="74"/>
  <c r="D364" i="74"/>
  <c r="D363" i="74"/>
  <c r="D362" i="74"/>
  <c r="D361" i="74"/>
  <c r="D360" i="74"/>
  <c r="D359" i="74"/>
  <c r="D358" i="74"/>
  <c r="D357" i="74"/>
  <c r="D356" i="74"/>
  <c r="D355" i="74"/>
  <c r="D354" i="74"/>
  <c r="D353" i="74"/>
  <c r="D352" i="74"/>
  <c r="D351" i="74"/>
  <c r="D350" i="74"/>
  <c r="D349" i="74"/>
  <c r="D348" i="74"/>
  <c r="D347" i="74"/>
  <c r="D346" i="74"/>
  <c r="D345" i="74"/>
  <c r="D344" i="74"/>
  <c r="D343" i="74"/>
  <c r="D342" i="74"/>
  <c r="D341" i="74"/>
  <c r="D340" i="74"/>
  <c r="D339" i="74"/>
  <c r="D338" i="74"/>
  <c r="D337" i="74"/>
  <c r="D336" i="74"/>
  <c r="D335" i="74"/>
  <c r="D334" i="74"/>
  <c r="D333" i="74"/>
  <c r="D332" i="74"/>
  <c r="D331" i="74"/>
  <c r="D330" i="74"/>
  <c r="D329" i="74"/>
  <c r="D328" i="74"/>
  <c r="D327" i="74"/>
  <c r="D326" i="74"/>
  <c r="D325" i="74"/>
  <c r="D324" i="74"/>
  <c r="D323" i="74"/>
  <c r="D322" i="74"/>
  <c r="D321" i="74"/>
  <c r="D320" i="74"/>
  <c r="D319" i="74"/>
  <c r="D318" i="74"/>
  <c r="D317" i="74"/>
  <c r="D316" i="74"/>
  <c r="D315" i="74"/>
  <c r="D314" i="74"/>
  <c r="D313" i="74"/>
  <c r="D312" i="74"/>
  <c r="D311" i="74"/>
  <c r="D200" i="74"/>
  <c r="D199" i="74"/>
  <c r="D198" i="74"/>
  <c r="D197" i="74"/>
  <c r="D196" i="74"/>
  <c r="D195" i="74"/>
  <c r="D194" i="74"/>
  <c r="D192" i="74"/>
  <c r="D191" i="74"/>
  <c r="D189" i="74"/>
  <c r="D188" i="74"/>
  <c r="D187" i="74"/>
  <c r="D186" i="74"/>
  <c r="D185" i="74"/>
  <c r="D184" i="74"/>
  <c r="D183" i="74"/>
  <c r="D182" i="74"/>
  <c r="D181" i="74"/>
  <c r="D180" i="74"/>
  <c r="D179" i="74"/>
  <c r="D178" i="74"/>
  <c r="D176" i="74"/>
  <c r="D175" i="74"/>
  <c r="D156" i="74"/>
  <c r="D155" i="74"/>
  <c r="D154" i="74"/>
  <c r="D153" i="74"/>
  <c r="D152" i="74"/>
  <c r="D151" i="74"/>
  <c r="D150" i="74"/>
  <c r="D149" i="74"/>
  <c r="D148" i="74"/>
  <c r="D147" i="74"/>
  <c r="D146" i="74"/>
  <c r="D145" i="74"/>
  <c r="D144" i="74"/>
  <c r="D142" i="74"/>
  <c r="D141" i="74"/>
  <c r="D140" i="74"/>
  <c r="D139" i="74"/>
  <c r="D137" i="74"/>
  <c r="D136" i="74"/>
  <c r="D135" i="74"/>
  <c r="D134" i="74"/>
  <c r="D133" i="74"/>
  <c r="D132" i="74"/>
  <c r="D130" i="74"/>
  <c r="D129" i="74"/>
  <c r="D127" i="74"/>
  <c r="D126" i="74"/>
  <c r="D124" i="74"/>
  <c r="D122" i="74"/>
  <c r="D121" i="74"/>
  <c r="D120" i="74"/>
  <c r="D119" i="74"/>
  <c r="D118" i="74"/>
  <c r="D117" i="74"/>
  <c r="D116" i="74"/>
  <c r="D115" i="74"/>
  <c r="D114" i="74"/>
  <c r="D113" i="74"/>
  <c r="D112" i="74"/>
  <c r="D111" i="74"/>
  <c r="D110" i="74"/>
  <c r="D109" i="74"/>
  <c r="D108" i="74"/>
  <c r="D107" i="74"/>
  <c r="D106" i="74"/>
  <c r="D104" i="74"/>
  <c r="D103" i="74"/>
  <c r="D102" i="74"/>
  <c r="D101" i="74"/>
  <c r="D99" i="74"/>
  <c r="D98" i="74"/>
  <c r="D97" i="74"/>
  <c r="D95" i="74"/>
  <c r="D94" i="74"/>
  <c r="D93" i="74"/>
  <c r="D91" i="74"/>
  <c r="D90" i="74"/>
  <c r="D87" i="74"/>
  <c r="D86" i="74"/>
  <c r="D84" i="74"/>
  <c r="D83" i="74"/>
  <c r="D82" i="74"/>
  <c r="D81" i="74"/>
  <c r="D80" i="74"/>
  <c r="D79" i="74"/>
  <c r="D78" i="74"/>
  <c r="D74" i="74"/>
  <c r="D72" i="74"/>
  <c r="D69" i="74"/>
  <c r="D68" i="74"/>
  <c r="D66" i="74"/>
  <c r="D65" i="74"/>
  <c r="D64" i="74"/>
  <c r="D63" i="74"/>
  <c r="D62" i="74"/>
  <c r="D61" i="74"/>
  <c r="D60" i="74"/>
  <c r="D57" i="74"/>
  <c r="D55" i="74"/>
  <c r="D53" i="74"/>
  <c r="D52" i="74"/>
  <c r="D51" i="74"/>
  <c r="D50" i="74"/>
  <c r="D49" i="74"/>
  <c r="D48" i="74"/>
  <c r="D47" i="74"/>
  <c r="D45" i="74"/>
  <c r="D42" i="74"/>
  <c r="D40" i="74"/>
  <c r="D39" i="74"/>
  <c r="D38" i="74"/>
  <c r="D36" i="74"/>
  <c r="D35" i="74"/>
  <c r="D33" i="74"/>
  <c r="D32" i="74"/>
  <c r="D31" i="74"/>
  <c r="D30" i="74"/>
  <c r="D29" i="74"/>
  <c r="D28" i="74"/>
  <c r="D27" i="74"/>
  <c r="D26" i="74"/>
  <c r="D25" i="74"/>
  <c r="D24" i="74"/>
  <c r="D23" i="74"/>
  <c r="D22" i="74"/>
  <c r="D21" i="74"/>
  <c r="D20" i="74"/>
  <c r="D17" i="74"/>
  <c r="D15" i="74"/>
  <c r="D14" i="74"/>
  <c r="D13" i="74"/>
  <c r="D12" i="74"/>
  <c r="D11" i="74"/>
  <c r="D10" i="74"/>
  <c r="D8" i="74"/>
  <c r="D7" i="74"/>
  <c r="O17" i="36"/>
  <c r="O119" i="36"/>
  <c r="P119" i="36" s="1"/>
  <c r="O57" i="36"/>
  <c r="O19" i="36"/>
  <c r="T51" i="76"/>
  <c r="T80" i="76"/>
  <c r="T91" i="76"/>
  <c r="P17" i="27"/>
  <c r="P139" i="27"/>
  <c r="P20" i="27"/>
  <c r="P72" i="27"/>
  <c r="P138" i="27"/>
  <c r="N95" i="50"/>
  <c r="N26" i="50"/>
  <c r="O26" i="50"/>
  <c r="N60" i="50"/>
  <c r="N17" i="61"/>
  <c r="N139" i="61"/>
  <c r="N31" i="61"/>
  <c r="N138" i="61"/>
  <c r="N46" i="61"/>
  <c r="N20" i="61"/>
  <c r="F39" i="34"/>
  <c r="G39" i="34" s="1"/>
  <c r="F86" i="34"/>
  <c r="G86" i="34" s="1"/>
  <c r="G89" i="34" s="1"/>
  <c r="F54" i="34"/>
  <c r="G54" i="34" s="1"/>
  <c r="G57" i="34" s="1"/>
  <c r="F70" i="34"/>
  <c r="G70" i="34" s="1"/>
  <c r="G73" i="34" s="1"/>
  <c r="F101" i="34"/>
  <c r="G101" i="34" s="1"/>
  <c r="G104" i="34" s="1"/>
  <c r="F8" i="34"/>
  <c r="G8" i="34" s="1"/>
  <c r="G11" i="34" s="1"/>
  <c r="A9" i="75"/>
  <c r="P80" i="27"/>
  <c r="M21" i="50"/>
  <c r="N67" i="50"/>
  <c r="N100" i="50"/>
  <c r="M18" i="50"/>
  <c r="M43" i="50"/>
  <c r="M44" i="50"/>
  <c r="O28" i="36"/>
  <c r="P28" i="36" s="1"/>
  <c r="O82" i="36"/>
  <c r="O69" i="36"/>
  <c r="O125" i="36"/>
  <c r="O123" i="36"/>
  <c r="O122" i="36"/>
  <c r="O121" i="36"/>
  <c r="O118" i="36"/>
  <c r="O117" i="36"/>
  <c r="O115" i="36"/>
  <c r="O113" i="36"/>
  <c r="O111" i="36"/>
  <c r="O109" i="36"/>
  <c r="O107" i="36"/>
  <c r="O105" i="36"/>
  <c r="O103" i="36"/>
  <c r="O101" i="36"/>
  <c r="O99" i="36"/>
  <c r="O97" i="36"/>
  <c r="O94" i="36"/>
  <c r="O92" i="36"/>
  <c r="O90" i="36"/>
  <c r="O88" i="36"/>
  <c r="O84" i="36"/>
  <c r="O81" i="36"/>
  <c r="O78" i="36"/>
  <c r="O76" i="36"/>
  <c r="O72" i="36"/>
  <c r="O68" i="36"/>
  <c r="O66" i="36"/>
  <c r="O64" i="36"/>
  <c r="O61" i="36"/>
  <c r="O59" i="36"/>
  <c r="O56" i="36"/>
  <c r="O54" i="36"/>
  <c r="O52" i="36"/>
  <c r="O51" i="36"/>
  <c r="O48" i="36"/>
  <c r="O47" i="36"/>
  <c r="O45" i="36"/>
  <c r="O43" i="36"/>
  <c r="P43" i="36" s="1"/>
  <c r="O42" i="36"/>
  <c r="O39" i="36"/>
  <c r="O37" i="36"/>
  <c r="O36" i="36"/>
  <c r="O34" i="36"/>
  <c r="O32" i="36"/>
  <c r="O30" i="36"/>
  <c r="O27" i="36"/>
  <c r="O24" i="36"/>
  <c r="P24" i="36" s="1"/>
  <c r="O22" i="36"/>
  <c r="O21" i="36"/>
  <c r="O15" i="36"/>
  <c r="O13" i="36"/>
  <c r="P13" i="36" s="1"/>
  <c r="O12" i="36"/>
  <c r="O11" i="36"/>
  <c r="O10" i="36"/>
  <c r="O9" i="36"/>
  <c r="P9" i="36" s="1"/>
  <c r="N27" i="61"/>
  <c r="O27" i="61" s="1"/>
  <c r="N103" i="61"/>
  <c r="N61" i="61"/>
  <c r="N147" i="61"/>
  <c r="N146" i="61"/>
  <c r="N144" i="61"/>
  <c r="N143" i="61"/>
  <c r="N142" i="61"/>
  <c r="N140" i="61"/>
  <c r="N137" i="61"/>
  <c r="N135" i="61"/>
  <c r="N133" i="61"/>
  <c r="N131" i="61"/>
  <c r="N129" i="61"/>
  <c r="N127" i="61"/>
  <c r="N125" i="61"/>
  <c r="N123" i="61"/>
  <c r="O123" i="61" s="1"/>
  <c r="N121" i="61"/>
  <c r="N119" i="61"/>
  <c r="O119" i="61"/>
  <c r="N117" i="61"/>
  <c r="N115" i="61"/>
  <c r="N113" i="61"/>
  <c r="N111" i="61"/>
  <c r="N109" i="61"/>
  <c r="N107" i="61"/>
  <c r="N105" i="61"/>
  <c r="N101" i="61"/>
  <c r="O101" i="61" s="1"/>
  <c r="N99" i="61"/>
  <c r="N97" i="61"/>
  <c r="N95" i="61"/>
  <c r="N93" i="61"/>
  <c r="N91" i="61"/>
  <c r="N89" i="61"/>
  <c r="N86" i="61"/>
  <c r="O86" i="61" s="1"/>
  <c r="N84" i="61"/>
  <c r="N82" i="61"/>
  <c r="N79" i="61"/>
  <c r="N77" i="61"/>
  <c r="O77" i="61" s="1"/>
  <c r="N75" i="61"/>
  <c r="N74" i="61"/>
  <c r="N71" i="61"/>
  <c r="N69" i="61"/>
  <c r="N67" i="61"/>
  <c r="O67" i="61" s="1"/>
  <c r="N65" i="61"/>
  <c r="N63" i="61"/>
  <c r="N60" i="61"/>
  <c r="O60" i="61" s="1"/>
  <c r="N58" i="61"/>
  <c r="N56" i="61"/>
  <c r="N55" i="61"/>
  <c r="N52" i="61"/>
  <c r="N51" i="61"/>
  <c r="N49" i="61"/>
  <c r="N47" i="61"/>
  <c r="N45" i="61"/>
  <c r="N42" i="61"/>
  <c r="N40" i="61"/>
  <c r="N39" i="61"/>
  <c r="N37" i="61"/>
  <c r="O37" i="61"/>
  <c r="N35" i="61"/>
  <c r="N33" i="61"/>
  <c r="O33" i="61" s="1"/>
  <c r="N30" i="61"/>
  <c r="N29" i="61"/>
  <c r="N25" i="61"/>
  <c r="O25" i="61" s="1"/>
  <c r="N23" i="61"/>
  <c r="O23" i="61" s="1"/>
  <c r="N22" i="61"/>
  <c r="O22" i="61" s="1"/>
  <c r="N15" i="61"/>
  <c r="N14" i="61"/>
  <c r="N13" i="61"/>
  <c r="O13" i="61" s="1"/>
  <c r="N12" i="61"/>
  <c r="N11" i="61"/>
  <c r="N10" i="61"/>
  <c r="N9" i="61"/>
  <c r="O9" i="61" s="1"/>
  <c r="P27" i="27"/>
  <c r="P103" i="27"/>
  <c r="P61" i="27"/>
  <c r="P46" i="27"/>
  <c r="Q46" i="27" s="1"/>
  <c r="P31" i="27"/>
  <c r="P147" i="27"/>
  <c r="P146" i="27"/>
  <c r="P144" i="27"/>
  <c r="P143" i="27"/>
  <c r="P142" i="27"/>
  <c r="P140" i="27"/>
  <c r="P137" i="27"/>
  <c r="Q137" i="27" s="1"/>
  <c r="P135" i="27"/>
  <c r="Q135" i="27"/>
  <c r="P133" i="27"/>
  <c r="P131" i="27"/>
  <c r="Q131" i="27" s="1"/>
  <c r="P129" i="27"/>
  <c r="P127" i="27"/>
  <c r="P125" i="27"/>
  <c r="P123" i="27"/>
  <c r="P121" i="27"/>
  <c r="Q121" i="27" s="1"/>
  <c r="P119" i="27"/>
  <c r="Q119" i="27"/>
  <c r="P117" i="27"/>
  <c r="P115" i="27"/>
  <c r="P113" i="27"/>
  <c r="Q113" i="27"/>
  <c r="P111" i="27"/>
  <c r="Q111" i="27" s="1"/>
  <c r="P109" i="27"/>
  <c r="P107" i="27"/>
  <c r="Q107" i="27" s="1"/>
  <c r="P105" i="27"/>
  <c r="P101" i="27"/>
  <c r="Q101" i="27" s="1"/>
  <c r="P99" i="27"/>
  <c r="P97" i="27"/>
  <c r="Q97" i="27" s="1"/>
  <c r="P95" i="27"/>
  <c r="Q95" i="27" s="1"/>
  <c r="P93" i="27"/>
  <c r="P91" i="27"/>
  <c r="P89" i="27"/>
  <c r="P86" i="27"/>
  <c r="P84" i="27"/>
  <c r="P82" i="27"/>
  <c r="P79" i="27"/>
  <c r="P77" i="27"/>
  <c r="Q77" i="27" s="1"/>
  <c r="P75" i="27"/>
  <c r="P74" i="27"/>
  <c r="P71" i="27"/>
  <c r="P69" i="27"/>
  <c r="P67" i="27"/>
  <c r="P65" i="27"/>
  <c r="P63" i="27"/>
  <c r="P60" i="27"/>
  <c r="P58" i="27"/>
  <c r="P56" i="27"/>
  <c r="P55" i="27"/>
  <c r="P52" i="27"/>
  <c r="P51" i="27"/>
  <c r="P49" i="27"/>
  <c r="P47" i="27"/>
  <c r="P45" i="27"/>
  <c r="P42" i="27"/>
  <c r="P40" i="27"/>
  <c r="P39" i="27"/>
  <c r="P37" i="27"/>
  <c r="P35" i="27"/>
  <c r="Q35" i="27" s="1"/>
  <c r="P33" i="27"/>
  <c r="P30" i="27"/>
  <c r="P29" i="27"/>
  <c r="P25" i="27"/>
  <c r="P23" i="27"/>
  <c r="P22" i="27"/>
  <c r="P15" i="27"/>
  <c r="P14" i="27"/>
  <c r="P13" i="27"/>
  <c r="P12" i="27"/>
  <c r="P11" i="27"/>
  <c r="P10" i="27"/>
  <c r="P9" i="27"/>
  <c r="R12" i="76"/>
  <c r="R14" i="76"/>
  <c r="R15" i="76"/>
  <c r="R16" i="76"/>
  <c r="R17" i="76"/>
  <c r="R18" i="76"/>
  <c r="R21" i="76"/>
  <c r="R23" i="76"/>
  <c r="R25" i="76"/>
  <c r="R27" i="76"/>
  <c r="R29" i="76"/>
  <c r="R31" i="76"/>
  <c r="R33" i="76"/>
  <c r="R37" i="76"/>
  <c r="R50" i="76"/>
  <c r="R56" i="76"/>
  <c r="R60" i="76"/>
  <c r="R62" i="76"/>
  <c r="R66" i="76"/>
  <c r="R69" i="76"/>
  <c r="R71" i="76"/>
  <c r="R73" i="76"/>
  <c r="R77" i="76"/>
  <c r="R79" i="76"/>
  <c r="R81" i="76"/>
  <c r="R86" i="76"/>
  <c r="R88" i="76"/>
  <c r="R90" i="76"/>
  <c r="R94" i="76"/>
  <c r="R96" i="76"/>
  <c r="R100" i="76"/>
  <c r="R103" i="76"/>
  <c r="R107" i="76"/>
  <c r="R111" i="76"/>
  <c r="R113" i="76"/>
  <c r="R115" i="76"/>
  <c r="R119" i="76"/>
  <c r="R121" i="76"/>
  <c r="R125" i="76"/>
  <c r="R127" i="76"/>
  <c r="R131" i="76"/>
  <c r="R133" i="76"/>
  <c r="R134" i="76"/>
  <c r="R135" i="76"/>
  <c r="R139" i="76"/>
  <c r="R136" i="76"/>
  <c r="R80" i="76"/>
  <c r="R95" i="76"/>
  <c r="R108" i="76"/>
  <c r="U108" i="76" s="1"/>
  <c r="R120" i="76"/>
  <c r="R132" i="76"/>
  <c r="R22" i="76"/>
  <c r="T136" i="76"/>
  <c r="U136" i="76" s="1"/>
  <c r="T102" i="76"/>
  <c r="T83" i="76"/>
  <c r="T126" i="76"/>
  <c r="T114" i="76"/>
  <c r="T104" i="76"/>
  <c r="T128" i="76"/>
  <c r="T122" i="76"/>
  <c r="T116" i="76"/>
  <c r="T112" i="76"/>
  <c r="T101" i="76"/>
  <c r="T97" i="76"/>
  <c r="T89" i="76"/>
  <c r="T82" i="76"/>
  <c r="T70" i="76"/>
  <c r="T63" i="76"/>
  <c r="T57" i="76"/>
  <c r="T74" i="76"/>
  <c r="T38" i="76"/>
  <c r="T72" i="76"/>
  <c r="T32" i="76"/>
  <c r="T87" i="76"/>
  <c r="T61" i="76"/>
  <c r="T67" i="76"/>
  <c r="T78" i="76"/>
  <c r="T132" i="76"/>
  <c r="T120" i="76"/>
  <c r="U120" i="76" s="1"/>
  <c r="T108" i="76"/>
  <c r="T95" i="76"/>
  <c r="U95" i="76" s="1"/>
  <c r="T139" i="76"/>
  <c r="T135" i="76"/>
  <c r="U135" i="76" s="1"/>
  <c r="T134" i="76"/>
  <c r="T133" i="76"/>
  <c r="U133" i="76" s="1"/>
  <c r="T131" i="76"/>
  <c r="T127" i="76"/>
  <c r="T125" i="76"/>
  <c r="T121" i="76"/>
  <c r="U121" i="76" s="1"/>
  <c r="T119" i="76"/>
  <c r="T115" i="76"/>
  <c r="T113" i="76"/>
  <c r="T111" i="76"/>
  <c r="U111" i="76" s="1"/>
  <c r="T107" i="76"/>
  <c r="T103" i="76"/>
  <c r="T100" i="76"/>
  <c r="T96" i="76"/>
  <c r="U96" i="76" s="1"/>
  <c r="T94" i="76"/>
  <c r="T90" i="76"/>
  <c r="U90" i="76" s="1"/>
  <c r="T88" i="76"/>
  <c r="T86" i="76"/>
  <c r="U86" i="76" s="1"/>
  <c r="T81" i="76"/>
  <c r="T79" i="76"/>
  <c r="T77" i="76"/>
  <c r="T73" i="76"/>
  <c r="U73" i="76" s="1"/>
  <c r="T71" i="76"/>
  <c r="T69" i="76"/>
  <c r="T66" i="76"/>
  <c r="T62" i="76"/>
  <c r="U62" i="76" s="1"/>
  <c r="T60" i="76"/>
  <c r="T56" i="76"/>
  <c r="T50" i="76"/>
  <c r="T37" i="76"/>
  <c r="U37" i="76" s="1"/>
  <c r="T33" i="76"/>
  <c r="T31" i="76"/>
  <c r="U31" i="76" s="1"/>
  <c r="T29" i="76"/>
  <c r="T27" i="76"/>
  <c r="U27" i="76" s="1"/>
  <c r="T25" i="76"/>
  <c r="T23" i="76"/>
  <c r="U23" i="76" s="1"/>
  <c r="T21" i="76"/>
  <c r="U21" i="76"/>
  <c r="T18" i="76"/>
  <c r="U18" i="76" s="1"/>
  <c r="T17" i="76"/>
  <c r="T16" i="76"/>
  <c r="T15" i="76"/>
  <c r="T14" i="76"/>
  <c r="U14" i="76" s="1"/>
  <c r="T12" i="76"/>
  <c r="H12" i="76"/>
  <c r="V12" i="76"/>
  <c r="Y12" i="76" s="1"/>
  <c r="U13" i="76"/>
  <c r="V13" i="76"/>
  <c r="Y13" i="76" s="1"/>
  <c r="AF13" i="76" s="1"/>
  <c r="H14" i="76"/>
  <c r="K14" i="76"/>
  <c r="M14" i="76" s="1"/>
  <c r="H15" i="76"/>
  <c r="K15" i="76"/>
  <c r="M15" i="76" s="1"/>
  <c r="U16" i="76"/>
  <c r="H16" i="76"/>
  <c r="K16" i="76"/>
  <c r="M16" i="76" s="1"/>
  <c r="V16" i="76" s="1"/>
  <c r="Y16" i="76" s="1"/>
  <c r="H17" i="76"/>
  <c r="K17" i="76"/>
  <c r="M17" i="76" s="1"/>
  <c r="H18" i="76"/>
  <c r="K18" i="76"/>
  <c r="M18" i="76" s="1"/>
  <c r="V18" i="76" s="1"/>
  <c r="Y18" i="76" s="1"/>
  <c r="R19" i="76"/>
  <c r="U19" i="76" s="1"/>
  <c r="H19" i="76"/>
  <c r="M19" i="76"/>
  <c r="R20" i="76"/>
  <c r="U20" i="76" s="1"/>
  <c r="H20" i="76"/>
  <c r="V20" i="76" s="1"/>
  <c r="Y20" i="76" s="1"/>
  <c r="H21" i="76"/>
  <c r="K21" i="76"/>
  <c r="M21" i="76" s="1"/>
  <c r="H22" i="76"/>
  <c r="K22" i="76"/>
  <c r="M22" i="76"/>
  <c r="H23" i="76"/>
  <c r="K23" i="76"/>
  <c r="M23" i="76" s="1"/>
  <c r="V23" i="76" s="1"/>
  <c r="Y23" i="76" s="1"/>
  <c r="AF23" i="76" s="1"/>
  <c r="U24" i="76"/>
  <c r="H24" i="76"/>
  <c r="K24" i="76"/>
  <c r="M24" i="76" s="1"/>
  <c r="H25" i="76"/>
  <c r="K25" i="76"/>
  <c r="M25" i="76" s="1"/>
  <c r="R26" i="76"/>
  <c r="U26" i="76" s="1"/>
  <c r="H26" i="76"/>
  <c r="V26" i="76" s="1"/>
  <c r="Y26" i="76" s="1"/>
  <c r="H27" i="76"/>
  <c r="V27" i="76" s="1"/>
  <c r="Y27" i="76" s="1"/>
  <c r="H28" i="76"/>
  <c r="V28" i="76" s="1"/>
  <c r="Y28" i="76" s="1"/>
  <c r="H29" i="76"/>
  <c r="K29" i="76"/>
  <c r="M29" i="76" s="1"/>
  <c r="R30" i="76"/>
  <c r="U30" i="76" s="1"/>
  <c r="H30" i="76"/>
  <c r="K30" i="76"/>
  <c r="M30" i="76" s="1"/>
  <c r="H31" i="76"/>
  <c r="K31" i="76"/>
  <c r="M31" i="76" s="1"/>
  <c r="V31" i="76" s="1"/>
  <c r="Y31" i="76" s="1"/>
  <c r="S32" i="76"/>
  <c r="R32" i="76" s="1"/>
  <c r="H32" i="76"/>
  <c r="K32" i="76"/>
  <c r="M32" i="76"/>
  <c r="H33" i="76"/>
  <c r="K33" i="76"/>
  <c r="M33" i="76" s="1"/>
  <c r="R34" i="76"/>
  <c r="U34" i="76"/>
  <c r="H34" i="76"/>
  <c r="K34" i="76"/>
  <c r="M34" i="76" s="1"/>
  <c r="U35" i="76"/>
  <c r="H35" i="76"/>
  <c r="K35" i="76"/>
  <c r="M35" i="76" s="1"/>
  <c r="R36" i="76"/>
  <c r="U36" i="76" s="1"/>
  <c r="H36" i="76"/>
  <c r="V36" i="76"/>
  <c r="Y36" i="76" s="1"/>
  <c r="H37" i="76"/>
  <c r="K37" i="76"/>
  <c r="M37" i="76" s="1"/>
  <c r="V37" i="76" s="1"/>
  <c r="Y37" i="76" s="1"/>
  <c r="S38" i="76"/>
  <c r="R38" i="76"/>
  <c r="U38" i="76" s="1"/>
  <c r="H38" i="76"/>
  <c r="K38" i="76"/>
  <c r="M38" i="76" s="1"/>
  <c r="V38" i="76" s="1"/>
  <c r="Y38" i="76" s="1"/>
  <c r="R39" i="76"/>
  <c r="U39" i="76"/>
  <c r="H39" i="76"/>
  <c r="K39" i="76"/>
  <c r="M39" i="76" s="1"/>
  <c r="U40" i="76"/>
  <c r="H40" i="76"/>
  <c r="K40" i="76"/>
  <c r="M40" i="76" s="1"/>
  <c r="V40" i="76"/>
  <c r="Y40" i="76" s="1"/>
  <c r="R41" i="76"/>
  <c r="U41" i="76"/>
  <c r="H41" i="76"/>
  <c r="V41" i="76" s="1"/>
  <c r="Y41" i="76" s="1"/>
  <c r="U42" i="76"/>
  <c r="H42" i="76"/>
  <c r="K42" i="76"/>
  <c r="M42" i="76" s="1"/>
  <c r="R43" i="76"/>
  <c r="U43" i="76"/>
  <c r="H43" i="76"/>
  <c r="V43" i="76" s="1"/>
  <c r="Y43" i="76" s="1"/>
  <c r="U44" i="76"/>
  <c r="H44" i="76"/>
  <c r="K44" i="76"/>
  <c r="M44" i="76" s="1"/>
  <c r="R45" i="76"/>
  <c r="U45" i="76" s="1"/>
  <c r="H45" i="76"/>
  <c r="V45" i="76" s="1"/>
  <c r="Y45" i="76" s="1"/>
  <c r="U46" i="76"/>
  <c r="H46" i="76"/>
  <c r="K46" i="76"/>
  <c r="M46" i="76"/>
  <c r="R47" i="76"/>
  <c r="U47" i="76" s="1"/>
  <c r="H47" i="76"/>
  <c r="V47" i="76" s="1"/>
  <c r="Y47" i="76" s="1"/>
  <c r="AD47" i="76" s="1"/>
  <c r="U48" i="76"/>
  <c r="H48" i="76"/>
  <c r="K48" i="76"/>
  <c r="M48" i="76" s="1"/>
  <c r="R49" i="76"/>
  <c r="U49" i="76" s="1"/>
  <c r="H49" i="76"/>
  <c r="V49" i="76" s="1"/>
  <c r="Y49" i="76" s="1"/>
  <c r="H50" i="76"/>
  <c r="K50" i="76"/>
  <c r="M50" i="76" s="1"/>
  <c r="S51" i="76"/>
  <c r="R51" i="76" s="1"/>
  <c r="U51" i="76" s="1"/>
  <c r="H51" i="76"/>
  <c r="K51" i="76"/>
  <c r="M51" i="76" s="1"/>
  <c r="R52" i="76"/>
  <c r="U52" i="76" s="1"/>
  <c r="H52" i="76"/>
  <c r="M52" i="76"/>
  <c r="V52" i="76" s="1"/>
  <c r="Y52" i="76" s="1"/>
  <c r="R53" i="76"/>
  <c r="U53" i="76"/>
  <c r="H53" i="76"/>
  <c r="M53" i="76"/>
  <c r="R54" i="76"/>
  <c r="U54" i="76" s="1"/>
  <c r="H54" i="76"/>
  <c r="K54" i="76"/>
  <c r="M54" i="76" s="1"/>
  <c r="R55" i="76"/>
  <c r="U55" i="76" s="1"/>
  <c r="H55" i="76"/>
  <c r="V55" i="76" s="1"/>
  <c r="Y55" i="76" s="1"/>
  <c r="U56" i="76"/>
  <c r="H56" i="76"/>
  <c r="K56" i="76"/>
  <c r="M56" i="76" s="1"/>
  <c r="S57" i="76"/>
  <c r="R57" i="76" s="1"/>
  <c r="H57" i="76"/>
  <c r="K57" i="76"/>
  <c r="M57" i="76" s="1"/>
  <c r="U58" i="76"/>
  <c r="H58" i="76"/>
  <c r="K58" i="76"/>
  <c r="M58" i="76" s="1"/>
  <c r="R59" i="76"/>
  <c r="U59" i="76" s="1"/>
  <c r="H59" i="76"/>
  <c r="V59" i="76" s="1"/>
  <c r="Y59" i="76" s="1"/>
  <c r="H60" i="76"/>
  <c r="K60" i="76"/>
  <c r="M60" i="76" s="1"/>
  <c r="S61" i="76"/>
  <c r="R61" i="76" s="1"/>
  <c r="U61" i="76" s="1"/>
  <c r="H61" i="76"/>
  <c r="K61" i="76"/>
  <c r="M61" i="76" s="1"/>
  <c r="H62" i="76"/>
  <c r="K62" i="76"/>
  <c r="M62" i="76" s="1"/>
  <c r="S63" i="76"/>
  <c r="R63" i="76" s="1"/>
  <c r="U63" i="76" s="1"/>
  <c r="H63" i="76"/>
  <c r="K63" i="76"/>
  <c r="M63" i="76" s="1"/>
  <c r="U64" i="76"/>
  <c r="H64" i="76"/>
  <c r="K64" i="76"/>
  <c r="M64" i="76" s="1"/>
  <c r="V64" i="76" s="1"/>
  <c r="Y64" i="76" s="1"/>
  <c r="R65" i="76"/>
  <c r="U65" i="76" s="1"/>
  <c r="H65" i="76"/>
  <c r="V65" i="76" s="1"/>
  <c r="Y65" i="76" s="1"/>
  <c r="H66" i="76"/>
  <c r="K66" i="76"/>
  <c r="M66" i="76" s="1"/>
  <c r="S67" i="76"/>
  <c r="R67" i="76" s="1"/>
  <c r="U67" i="76" s="1"/>
  <c r="H67" i="76"/>
  <c r="K67" i="76"/>
  <c r="M67" i="76" s="1"/>
  <c r="R68" i="76"/>
  <c r="U68" i="76" s="1"/>
  <c r="H68" i="76"/>
  <c r="V68" i="76" s="1"/>
  <c r="Y68" i="76" s="1"/>
  <c r="AD68" i="76" s="1"/>
  <c r="U69" i="76"/>
  <c r="H69" i="76"/>
  <c r="K69" i="76"/>
  <c r="M69" i="76" s="1"/>
  <c r="S70" i="76"/>
  <c r="R70" i="76" s="1"/>
  <c r="U70" i="76" s="1"/>
  <c r="H70" i="76"/>
  <c r="K70" i="76"/>
  <c r="M70" i="76" s="1"/>
  <c r="H71" i="76"/>
  <c r="V71" i="76" s="1"/>
  <c r="Y71" i="76" s="1"/>
  <c r="K71" i="76"/>
  <c r="M71" i="76"/>
  <c r="S72" i="76"/>
  <c r="R72" i="76" s="1"/>
  <c r="U72" i="76" s="1"/>
  <c r="H72" i="76"/>
  <c r="V72" i="76" s="1"/>
  <c r="Y72" i="76" s="1"/>
  <c r="K72" i="76"/>
  <c r="M72" i="76"/>
  <c r="H73" i="76"/>
  <c r="K73" i="76"/>
  <c r="M73" i="76" s="1"/>
  <c r="S74" i="76"/>
  <c r="R74" i="76"/>
  <c r="U74" i="76" s="1"/>
  <c r="H74" i="76"/>
  <c r="K74" i="76"/>
  <c r="M74" i="76" s="1"/>
  <c r="U75" i="76"/>
  <c r="H75" i="76"/>
  <c r="K75" i="76"/>
  <c r="M75" i="76" s="1"/>
  <c r="R76" i="76"/>
  <c r="U76" i="76" s="1"/>
  <c r="H76" i="76"/>
  <c r="V76" i="76" s="1"/>
  <c r="Y76" i="76" s="1"/>
  <c r="H77" i="76"/>
  <c r="K77" i="76"/>
  <c r="M77" i="76" s="1"/>
  <c r="S78" i="76"/>
  <c r="R78" i="76" s="1"/>
  <c r="H78" i="76"/>
  <c r="K78" i="76"/>
  <c r="M78" i="76" s="1"/>
  <c r="U79" i="76"/>
  <c r="H79" i="76"/>
  <c r="K79" i="76"/>
  <c r="M79" i="76" s="1"/>
  <c r="H80" i="76"/>
  <c r="K80" i="76"/>
  <c r="M80" i="76" s="1"/>
  <c r="H81" i="76"/>
  <c r="K81" i="76"/>
  <c r="M81" i="76" s="1"/>
  <c r="S82" i="76"/>
  <c r="R82" i="76" s="1"/>
  <c r="U82" i="76" s="1"/>
  <c r="H82" i="76"/>
  <c r="K82" i="76"/>
  <c r="M82" i="76" s="1"/>
  <c r="S83" i="76"/>
  <c r="R83" i="76" s="1"/>
  <c r="U83" i="76" s="1"/>
  <c r="H83" i="76"/>
  <c r="K83" i="76"/>
  <c r="M83" i="76" s="1"/>
  <c r="U84" i="76"/>
  <c r="H84" i="76"/>
  <c r="K84" i="76"/>
  <c r="M84" i="76" s="1"/>
  <c r="V84" i="76" s="1"/>
  <c r="Y84" i="76" s="1"/>
  <c r="AF84" i="76" s="1"/>
  <c r="R85" i="76"/>
  <c r="U85" i="76" s="1"/>
  <c r="H85" i="76"/>
  <c r="V85" i="76" s="1"/>
  <c r="Y85" i="76" s="1"/>
  <c r="H86" i="76"/>
  <c r="K86" i="76"/>
  <c r="M86" i="76" s="1"/>
  <c r="S87" i="76"/>
  <c r="R87" i="76"/>
  <c r="U87" i="76" s="1"/>
  <c r="H87" i="76"/>
  <c r="K87" i="76"/>
  <c r="M87" i="76" s="1"/>
  <c r="H88" i="76"/>
  <c r="K88" i="76"/>
  <c r="M88" i="76" s="1"/>
  <c r="S89" i="76"/>
  <c r="R89" i="76" s="1"/>
  <c r="U89" i="76" s="1"/>
  <c r="H89" i="76"/>
  <c r="K89" i="76"/>
  <c r="M89" i="76" s="1"/>
  <c r="H90" i="76"/>
  <c r="V90" i="76" s="1"/>
  <c r="Y90" i="76" s="1"/>
  <c r="K90" i="76"/>
  <c r="M90" i="76" s="1"/>
  <c r="S91" i="76"/>
  <c r="R91" i="76" s="1"/>
  <c r="H91" i="76"/>
  <c r="K91" i="76"/>
  <c r="M91" i="76" s="1"/>
  <c r="U92" i="76"/>
  <c r="H92" i="76"/>
  <c r="K92" i="76"/>
  <c r="M92" i="76" s="1"/>
  <c r="R93" i="76"/>
  <c r="U93" i="76" s="1"/>
  <c r="H93" i="76"/>
  <c r="V93" i="76" s="1"/>
  <c r="Y93" i="76" s="1"/>
  <c r="H94" i="76"/>
  <c r="K94" i="76"/>
  <c r="M94" i="76" s="1"/>
  <c r="H95" i="76"/>
  <c r="K95" i="76"/>
  <c r="M95" i="76" s="1"/>
  <c r="H96" i="76"/>
  <c r="K96" i="76"/>
  <c r="M96" i="76"/>
  <c r="S97" i="76"/>
  <c r="R97" i="76" s="1"/>
  <c r="U97" i="76" s="1"/>
  <c r="H97" i="76"/>
  <c r="K97" i="76"/>
  <c r="M97" i="76" s="1"/>
  <c r="U98" i="76"/>
  <c r="H98" i="76"/>
  <c r="K98" i="76"/>
  <c r="M98" i="76" s="1"/>
  <c r="R99" i="76"/>
  <c r="U99" i="76" s="1"/>
  <c r="H99" i="76"/>
  <c r="V99" i="76" s="1"/>
  <c r="Y99" i="76" s="1"/>
  <c r="H100" i="76"/>
  <c r="K100" i="76"/>
  <c r="M100" i="76" s="1"/>
  <c r="S101" i="76"/>
  <c r="R101" i="76" s="1"/>
  <c r="U101" i="76" s="1"/>
  <c r="H101" i="76"/>
  <c r="K101" i="76"/>
  <c r="M101" i="76" s="1"/>
  <c r="S102" i="76"/>
  <c r="R102" i="76" s="1"/>
  <c r="U102" i="76" s="1"/>
  <c r="H102" i="76"/>
  <c r="K102" i="76"/>
  <c r="M102" i="76" s="1"/>
  <c r="U103" i="76"/>
  <c r="H103" i="76"/>
  <c r="K103" i="76"/>
  <c r="M103" i="76" s="1"/>
  <c r="S104" i="76"/>
  <c r="R104" i="76" s="1"/>
  <c r="U104" i="76" s="1"/>
  <c r="H104" i="76"/>
  <c r="K104" i="76"/>
  <c r="M104" i="76" s="1"/>
  <c r="U105" i="76"/>
  <c r="H105" i="76"/>
  <c r="K105" i="76"/>
  <c r="M105" i="76" s="1"/>
  <c r="R106" i="76"/>
  <c r="U106" i="76" s="1"/>
  <c r="H106" i="76"/>
  <c r="V106" i="76" s="1"/>
  <c r="Y106" i="76" s="1"/>
  <c r="H107" i="76"/>
  <c r="K107" i="76"/>
  <c r="M107" i="76" s="1"/>
  <c r="H108" i="76"/>
  <c r="K108" i="76"/>
  <c r="M108" i="76" s="1"/>
  <c r="U109" i="76"/>
  <c r="H109" i="76"/>
  <c r="K109" i="76"/>
  <c r="M109" i="76" s="1"/>
  <c r="V109" i="76" s="1"/>
  <c r="Y109" i="76" s="1"/>
  <c r="AF109" i="76" s="1"/>
  <c r="R110" i="76"/>
  <c r="U110" i="76" s="1"/>
  <c r="H110" i="76"/>
  <c r="V110" i="76" s="1"/>
  <c r="Y110" i="76" s="1"/>
  <c r="AF110" i="76" s="1"/>
  <c r="H111" i="76"/>
  <c r="K111" i="76"/>
  <c r="M111" i="76" s="1"/>
  <c r="S112" i="76"/>
  <c r="R112" i="76" s="1"/>
  <c r="U112" i="76"/>
  <c r="H112" i="76"/>
  <c r="K112" i="76"/>
  <c r="M112" i="76" s="1"/>
  <c r="H113" i="76"/>
  <c r="K113" i="76"/>
  <c r="M113" i="76"/>
  <c r="S114" i="76"/>
  <c r="R114" i="76" s="1"/>
  <c r="H114" i="76"/>
  <c r="K114" i="76"/>
  <c r="M114" i="76" s="1"/>
  <c r="U115" i="76"/>
  <c r="H115" i="76"/>
  <c r="K115" i="76"/>
  <c r="M115" i="76" s="1"/>
  <c r="S116" i="76"/>
  <c r="R116" i="76" s="1"/>
  <c r="H116" i="76"/>
  <c r="K116" i="76"/>
  <c r="M116" i="76" s="1"/>
  <c r="U117" i="76"/>
  <c r="H117" i="76"/>
  <c r="K117" i="76"/>
  <c r="M117" i="76"/>
  <c r="R118" i="76"/>
  <c r="U118" i="76" s="1"/>
  <c r="H118" i="76"/>
  <c r="V118" i="76" s="1"/>
  <c r="Y118" i="76" s="1"/>
  <c r="AF118" i="76" s="1"/>
  <c r="H119" i="76"/>
  <c r="K119" i="76"/>
  <c r="M119" i="76" s="1"/>
  <c r="V119" i="76" s="1"/>
  <c r="Y119" i="76" s="1"/>
  <c r="H120" i="76"/>
  <c r="K120" i="76"/>
  <c r="M120" i="76" s="1"/>
  <c r="H121" i="76"/>
  <c r="K121" i="76"/>
  <c r="M121" i="76" s="1"/>
  <c r="S122" i="76"/>
  <c r="R122" i="76" s="1"/>
  <c r="U122" i="76" s="1"/>
  <c r="H122" i="76"/>
  <c r="K122" i="76"/>
  <c r="M122" i="76"/>
  <c r="U123" i="76"/>
  <c r="H123" i="76"/>
  <c r="V123" i="76" s="1"/>
  <c r="Y123" i="76" s="1"/>
  <c r="K123" i="76"/>
  <c r="M123" i="76"/>
  <c r="R124" i="76"/>
  <c r="U124" i="76" s="1"/>
  <c r="H124" i="76"/>
  <c r="V124" i="76" s="1"/>
  <c r="Y124" i="76" s="1"/>
  <c r="H125" i="76"/>
  <c r="K125" i="76"/>
  <c r="M125" i="76" s="1"/>
  <c r="S126" i="76"/>
  <c r="R126" i="76" s="1"/>
  <c r="U126" i="76" s="1"/>
  <c r="H126" i="76"/>
  <c r="K126" i="76"/>
  <c r="M126" i="76" s="1"/>
  <c r="U127" i="76"/>
  <c r="H127" i="76"/>
  <c r="K127" i="76"/>
  <c r="M127" i="76" s="1"/>
  <c r="S128" i="76"/>
  <c r="R128" i="76" s="1"/>
  <c r="U128" i="76" s="1"/>
  <c r="H128" i="76"/>
  <c r="K128" i="76"/>
  <c r="M128" i="76" s="1"/>
  <c r="V128" i="76" s="1"/>
  <c r="Y128" i="76" s="1"/>
  <c r="U129" i="76"/>
  <c r="H129" i="76"/>
  <c r="K129" i="76"/>
  <c r="M129" i="76" s="1"/>
  <c r="R130" i="76"/>
  <c r="U130" i="76" s="1"/>
  <c r="H130" i="76"/>
  <c r="V130" i="76" s="1"/>
  <c r="Y130" i="76" s="1"/>
  <c r="H131" i="76"/>
  <c r="K131" i="76"/>
  <c r="M131" i="76" s="1"/>
  <c r="H132" i="76"/>
  <c r="K132" i="76"/>
  <c r="M132" i="76" s="1"/>
  <c r="H133" i="76"/>
  <c r="K133" i="76"/>
  <c r="M133" i="76" s="1"/>
  <c r="H134" i="76"/>
  <c r="K134" i="76"/>
  <c r="M134" i="76" s="1"/>
  <c r="H135" i="76"/>
  <c r="K135" i="76"/>
  <c r="M135" i="76" s="1"/>
  <c r="H136" i="76"/>
  <c r="V136" i="76" s="1"/>
  <c r="Y136" i="76" s="1"/>
  <c r="K139" i="76"/>
  <c r="M139" i="76" s="1"/>
  <c r="V139" i="76" s="1"/>
  <c r="Y139" i="76" s="1"/>
  <c r="AB140" i="76"/>
  <c r="X13" i="76"/>
  <c r="AA13" i="76" s="1"/>
  <c r="L20" i="76"/>
  <c r="X20" i="76" s="1"/>
  <c r="AA20" i="76" s="1"/>
  <c r="X22" i="76"/>
  <c r="AA22" i="76" s="1"/>
  <c r="X26" i="76"/>
  <c r="AA26" i="76" s="1"/>
  <c r="X28" i="76"/>
  <c r="AA28" i="76" s="1"/>
  <c r="X30" i="76"/>
  <c r="AA30" i="76" s="1"/>
  <c r="X32" i="76"/>
  <c r="AA32" i="76" s="1"/>
  <c r="X34" i="76"/>
  <c r="AA34" i="76" s="1"/>
  <c r="X36" i="76"/>
  <c r="AA36" i="76" s="1"/>
  <c r="X38" i="76"/>
  <c r="AA38" i="76" s="1"/>
  <c r="X39" i="76"/>
  <c r="AA39" i="76" s="1"/>
  <c r="X41" i="76"/>
  <c r="AA41" i="76" s="1"/>
  <c r="X43" i="76"/>
  <c r="AA43" i="76" s="1"/>
  <c r="X45" i="76"/>
  <c r="AA45" i="76" s="1"/>
  <c r="X47" i="76"/>
  <c r="AA47" i="76" s="1"/>
  <c r="X49" i="76"/>
  <c r="AA49" i="76" s="1"/>
  <c r="X51" i="76"/>
  <c r="AA51" i="76" s="1"/>
  <c r="X53" i="76"/>
  <c r="AA53" i="76" s="1"/>
  <c r="X54" i="76"/>
  <c r="AA54" i="76" s="1"/>
  <c r="X55" i="76"/>
  <c r="AA55" i="76" s="1"/>
  <c r="X57" i="76"/>
  <c r="AA57" i="76" s="1"/>
  <c r="X59" i="76"/>
  <c r="AA59" i="76" s="1"/>
  <c r="X61" i="76"/>
  <c r="AA61" i="76" s="1"/>
  <c r="AA63" i="76"/>
  <c r="X65" i="76"/>
  <c r="AA65" i="76" s="1"/>
  <c r="X67" i="76"/>
  <c r="AA67" i="76"/>
  <c r="X68" i="76"/>
  <c r="AA68" i="76" s="1"/>
  <c r="AA70" i="76"/>
  <c r="AA72" i="76"/>
  <c r="AA74" i="76"/>
  <c r="X76" i="76"/>
  <c r="AA76" i="76" s="1"/>
  <c r="X78" i="76"/>
  <c r="AA78" i="76" s="1"/>
  <c r="AA80" i="76"/>
  <c r="AA82" i="76"/>
  <c r="AA83" i="76"/>
  <c r="X85" i="76"/>
  <c r="AA85" i="76" s="1"/>
  <c r="X87" i="76"/>
  <c r="AA87" i="76" s="1"/>
  <c r="AA89" i="76"/>
  <c r="AA91" i="76"/>
  <c r="X93" i="76"/>
  <c r="AA93" i="76" s="1"/>
  <c r="AA95" i="76"/>
  <c r="AA97" i="76"/>
  <c r="X99" i="76"/>
  <c r="AA99" i="76" s="1"/>
  <c r="AA101" i="76"/>
  <c r="AA102" i="76"/>
  <c r="AA104" i="76"/>
  <c r="X106" i="76"/>
  <c r="AA106" i="76" s="1"/>
  <c r="AA108" i="76"/>
  <c r="X110" i="76"/>
  <c r="AA110" i="76"/>
  <c r="AA112" i="76"/>
  <c r="AA114" i="76"/>
  <c r="AA116" i="76"/>
  <c r="X118" i="76"/>
  <c r="AA118" i="76" s="1"/>
  <c r="AA120" i="76"/>
  <c r="AA122" i="76"/>
  <c r="X124" i="76"/>
  <c r="AA124" i="76" s="1"/>
  <c r="AA126" i="76"/>
  <c r="AA128" i="76"/>
  <c r="X130" i="76"/>
  <c r="AA130" i="76" s="1"/>
  <c r="AA132" i="76"/>
  <c r="X136" i="76"/>
  <c r="AA136" i="76" s="1"/>
  <c r="X137" i="76"/>
  <c r="AA137" i="76" s="1"/>
  <c r="X138" i="76"/>
  <c r="AA138" i="76" s="1"/>
  <c r="W12" i="76"/>
  <c r="Z12" i="76" s="1"/>
  <c r="W14" i="76"/>
  <c r="Z14" i="76" s="1"/>
  <c r="W15" i="76"/>
  <c r="Z15" i="76"/>
  <c r="W16" i="76"/>
  <c r="Z16" i="76" s="1"/>
  <c r="W17" i="76"/>
  <c r="Z17" i="76"/>
  <c r="W18" i="76"/>
  <c r="Z18" i="76" s="1"/>
  <c r="W19" i="76"/>
  <c r="Z19" i="76"/>
  <c r="W21" i="76"/>
  <c r="Z21" i="76" s="1"/>
  <c r="W23" i="76"/>
  <c r="Z23" i="76" s="1"/>
  <c r="W24" i="76"/>
  <c r="Z24" i="76" s="1"/>
  <c r="W25" i="76"/>
  <c r="Z25" i="76"/>
  <c r="W27" i="76"/>
  <c r="Z27" i="76" s="1"/>
  <c r="W29" i="76"/>
  <c r="Z29" i="76"/>
  <c r="W31" i="76"/>
  <c r="Z31" i="76" s="1"/>
  <c r="W33" i="76"/>
  <c r="Z33" i="76"/>
  <c r="W35" i="76"/>
  <c r="Z35" i="76" s="1"/>
  <c r="W37" i="76"/>
  <c r="Z37" i="76" s="1"/>
  <c r="W40" i="76"/>
  <c r="Z40" i="76" s="1"/>
  <c r="W42" i="76"/>
  <c r="Z42" i="76"/>
  <c r="W44" i="76"/>
  <c r="Z44" i="76" s="1"/>
  <c r="W46" i="76"/>
  <c r="Z46" i="76"/>
  <c r="W48" i="76"/>
  <c r="Z48" i="76" s="1"/>
  <c r="W50" i="76"/>
  <c r="Z50" i="76" s="1"/>
  <c r="W52" i="76"/>
  <c r="Z52" i="76" s="1"/>
  <c r="W56" i="76"/>
  <c r="Z56" i="76" s="1"/>
  <c r="W58" i="76"/>
  <c r="Z58" i="76" s="1"/>
  <c r="W60" i="76"/>
  <c r="Z60" i="76" s="1"/>
  <c r="W62" i="76"/>
  <c r="Z62" i="76" s="1"/>
  <c r="W64" i="76"/>
  <c r="Z64" i="76" s="1"/>
  <c r="W66" i="76"/>
  <c r="Z66" i="76" s="1"/>
  <c r="W69" i="76"/>
  <c r="Z69" i="76" s="1"/>
  <c r="W71" i="76"/>
  <c r="Z71" i="76" s="1"/>
  <c r="W73" i="76"/>
  <c r="Z73" i="76" s="1"/>
  <c r="W75" i="76"/>
  <c r="Z75" i="76" s="1"/>
  <c r="W77" i="76"/>
  <c r="Z77" i="76" s="1"/>
  <c r="W79" i="76"/>
  <c r="Z79" i="76" s="1"/>
  <c r="W81" i="76"/>
  <c r="Z81" i="76" s="1"/>
  <c r="W84" i="76"/>
  <c r="Z84" i="76" s="1"/>
  <c r="W86" i="76"/>
  <c r="Z86" i="76" s="1"/>
  <c r="W88" i="76"/>
  <c r="Z88" i="76" s="1"/>
  <c r="W90" i="76"/>
  <c r="Z90" i="76" s="1"/>
  <c r="W92" i="76"/>
  <c r="Z92" i="76" s="1"/>
  <c r="W94" i="76"/>
  <c r="Z94" i="76" s="1"/>
  <c r="W96" i="76"/>
  <c r="Z96" i="76" s="1"/>
  <c r="W98" i="76"/>
  <c r="Z98" i="76" s="1"/>
  <c r="W100" i="76"/>
  <c r="Z100" i="76" s="1"/>
  <c r="W103" i="76"/>
  <c r="Z103" i="76" s="1"/>
  <c r="W105" i="76"/>
  <c r="Z105" i="76" s="1"/>
  <c r="W107" i="76"/>
  <c r="Z107" i="76" s="1"/>
  <c r="W109" i="76"/>
  <c r="Z109" i="76" s="1"/>
  <c r="W111" i="76"/>
  <c r="Z111" i="76" s="1"/>
  <c r="W113" i="76"/>
  <c r="Z113" i="76" s="1"/>
  <c r="W115" i="76"/>
  <c r="Z115" i="76" s="1"/>
  <c r="W117" i="76"/>
  <c r="Z117" i="76" s="1"/>
  <c r="W119" i="76"/>
  <c r="Z119" i="76" s="1"/>
  <c r="W121" i="76"/>
  <c r="Z121" i="76" s="1"/>
  <c r="W123" i="76"/>
  <c r="Z123" i="76" s="1"/>
  <c r="W125" i="76"/>
  <c r="Z125" i="76" s="1"/>
  <c r="W127" i="76"/>
  <c r="Z127" i="76" s="1"/>
  <c r="W129" i="76"/>
  <c r="Z129" i="76" s="1"/>
  <c r="W131" i="76"/>
  <c r="Z131" i="76"/>
  <c r="W133" i="76"/>
  <c r="Z133" i="76" s="1"/>
  <c r="W134" i="76"/>
  <c r="Z134" i="76"/>
  <c r="W135" i="76"/>
  <c r="Z135" i="76" s="1"/>
  <c r="I139" i="76"/>
  <c r="W139" i="76" s="1"/>
  <c r="Z139" i="76" s="1"/>
  <c r="AF138" i="76"/>
  <c r="K138" i="76"/>
  <c r="AF137" i="76"/>
  <c r="K137" i="76"/>
  <c r="K136" i="76"/>
  <c r="K130" i="76"/>
  <c r="K124" i="76"/>
  <c r="K118" i="76"/>
  <c r="K110" i="76"/>
  <c r="K106" i="76"/>
  <c r="K99" i="76"/>
  <c r="K93" i="76"/>
  <c r="K85" i="76"/>
  <c r="K76" i="76"/>
  <c r="K68" i="76"/>
  <c r="K65" i="76"/>
  <c r="K59" i="76"/>
  <c r="K55" i="76"/>
  <c r="K49" i="76"/>
  <c r="K47" i="76"/>
  <c r="K45" i="76"/>
  <c r="K43" i="76"/>
  <c r="K41" i="76"/>
  <c r="K36" i="76"/>
  <c r="K28" i="76"/>
  <c r="K27" i="76"/>
  <c r="K26" i="76"/>
  <c r="K13" i="76"/>
  <c r="K12" i="76"/>
  <c r="R9" i="27"/>
  <c r="R10" i="27"/>
  <c r="R11" i="27"/>
  <c r="R12" i="27"/>
  <c r="R13" i="27"/>
  <c r="R14" i="27"/>
  <c r="R15" i="27"/>
  <c r="R17" i="27"/>
  <c r="R18" i="27"/>
  <c r="R19" i="27"/>
  <c r="R20" i="27"/>
  <c r="R22" i="27"/>
  <c r="R23" i="27"/>
  <c r="R24" i="27"/>
  <c r="R25" i="27"/>
  <c r="R26" i="27"/>
  <c r="R27" i="27"/>
  <c r="R29" i="27"/>
  <c r="R30" i="27"/>
  <c r="R40" i="27"/>
  <c r="R43" i="27"/>
  <c r="R46" i="27"/>
  <c r="R47" i="27"/>
  <c r="R52" i="27"/>
  <c r="R56" i="27"/>
  <c r="R57" i="27"/>
  <c r="R58" i="27"/>
  <c r="R61" i="27"/>
  <c r="R72" i="27"/>
  <c r="R75" i="27"/>
  <c r="R80" i="27"/>
  <c r="R87" i="27"/>
  <c r="R102" i="27"/>
  <c r="R103" i="27"/>
  <c r="R138" i="27"/>
  <c r="R143" i="27"/>
  <c r="R144" i="27"/>
  <c r="R145" i="27"/>
  <c r="G146" i="27"/>
  <c r="R146" i="27"/>
  <c r="R147" i="27"/>
  <c r="R148" i="27"/>
  <c r="Q9" i="36"/>
  <c r="Q10" i="36"/>
  <c r="Q11" i="36"/>
  <c r="R11" i="36" s="1"/>
  <c r="Q12" i="36"/>
  <c r="Q13" i="36"/>
  <c r="R13" i="36" s="1"/>
  <c r="S13" i="36" s="1"/>
  <c r="Q14" i="36"/>
  <c r="R14" i="36" s="1"/>
  <c r="Q15" i="36"/>
  <c r="R15" i="36" s="1"/>
  <c r="Q16" i="36"/>
  <c r="Q18" i="36"/>
  <c r="R18" i="36" s="1"/>
  <c r="Q19" i="36"/>
  <c r="R19" i="36" s="1"/>
  <c r="Q21" i="36"/>
  <c r="R21" i="36" s="1"/>
  <c r="Q22" i="36"/>
  <c r="R22" i="36" s="1"/>
  <c r="Q23" i="36"/>
  <c r="R23" i="36" s="1"/>
  <c r="Q24" i="36"/>
  <c r="Q25" i="36"/>
  <c r="Q27" i="36"/>
  <c r="R27" i="36" s="1"/>
  <c r="Q28" i="36"/>
  <c r="Q30" i="36"/>
  <c r="Q32" i="36"/>
  <c r="R32" i="36"/>
  <c r="Q34" i="36"/>
  <c r="R34" i="36" s="1"/>
  <c r="Q36" i="36"/>
  <c r="Q37" i="36"/>
  <c r="Q39" i="36"/>
  <c r="R39" i="36" s="1"/>
  <c r="Q40" i="36"/>
  <c r="R40" i="36" s="1"/>
  <c r="Q42" i="36"/>
  <c r="Q43" i="36"/>
  <c r="R43" i="36" s="1"/>
  <c r="Q45" i="36"/>
  <c r="R45" i="36" s="1"/>
  <c r="Q47" i="36"/>
  <c r="Q48" i="36"/>
  <c r="Q49" i="36"/>
  <c r="Q51" i="36"/>
  <c r="R51" i="36" s="1"/>
  <c r="Q52" i="36"/>
  <c r="Q53" i="36"/>
  <c r="Q54" i="36"/>
  <c r="Q56" i="36"/>
  <c r="R56" i="36"/>
  <c r="Q57" i="36"/>
  <c r="Q59" i="36"/>
  <c r="Q61" i="36"/>
  <c r="Q62" i="36"/>
  <c r="R62" i="36" s="1"/>
  <c r="Q64" i="36"/>
  <c r="Q66" i="36"/>
  <c r="Q68" i="36"/>
  <c r="R68" i="36" s="1"/>
  <c r="Q69" i="36"/>
  <c r="R69" i="36" s="1"/>
  <c r="Q70" i="36"/>
  <c r="Q72" i="36"/>
  <c r="R72" i="36" s="1"/>
  <c r="Q73" i="36"/>
  <c r="R73" i="36" s="1"/>
  <c r="Q74" i="36"/>
  <c r="Q76" i="36"/>
  <c r="Q78" i="36"/>
  <c r="R78" i="36" s="1"/>
  <c r="Q79" i="36"/>
  <c r="R79" i="36" s="1"/>
  <c r="Q81" i="36"/>
  <c r="R81" i="36" s="1"/>
  <c r="Q82" i="36"/>
  <c r="R82" i="36" s="1"/>
  <c r="Q84" i="36"/>
  <c r="R84" i="36" s="1"/>
  <c r="Q85" i="36"/>
  <c r="Q86" i="36"/>
  <c r="R86" i="36" s="1"/>
  <c r="S86" i="36" s="1"/>
  <c r="Q88" i="36"/>
  <c r="R88" i="36" s="1"/>
  <c r="Q90" i="36"/>
  <c r="Q92" i="36"/>
  <c r="Q94" i="36"/>
  <c r="R94" i="36" s="1"/>
  <c r="Q95" i="36"/>
  <c r="R95" i="36" s="1"/>
  <c r="Q97" i="36"/>
  <c r="Q99" i="36"/>
  <c r="R99" i="36" s="1"/>
  <c r="Q101" i="36"/>
  <c r="Q103" i="36"/>
  <c r="R103" i="36" s="1"/>
  <c r="Q105" i="36"/>
  <c r="Q107" i="36"/>
  <c r="R107" i="36" s="1"/>
  <c r="Q109" i="36"/>
  <c r="R109" i="36" s="1"/>
  <c r="Q111" i="36"/>
  <c r="R111" i="36" s="1"/>
  <c r="Q113" i="36"/>
  <c r="R113" i="36" s="1"/>
  <c r="Q115" i="36"/>
  <c r="Q117" i="36"/>
  <c r="Q121" i="36"/>
  <c r="R121" i="36" s="1"/>
  <c r="Q122" i="36"/>
  <c r="Q123" i="36"/>
  <c r="Q124" i="36"/>
  <c r="R124" i="36" s="1"/>
  <c r="Q125" i="36"/>
  <c r="R125" i="36" s="1"/>
  <c r="Q126" i="36"/>
  <c r="P9" i="50"/>
  <c r="P10" i="50"/>
  <c r="P11" i="50"/>
  <c r="P12" i="50"/>
  <c r="P13" i="50"/>
  <c r="P14" i="50"/>
  <c r="P15" i="50"/>
  <c r="Q15" i="50" s="1"/>
  <c r="P16" i="50"/>
  <c r="P17" i="50"/>
  <c r="P18" i="50"/>
  <c r="P19" i="50"/>
  <c r="P21" i="50"/>
  <c r="P22" i="50"/>
  <c r="P23" i="50"/>
  <c r="P25" i="50"/>
  <c r="P26" i="50"/>
  <c r="P28" i="50"/>
  <c r="P30" i="50"/>
  <c r="P31" i="50"/>
  <c r="P33" i="50"/>
  <c r="P35" i="50"/>
  <c r="P36" i="50"/>
  <c r="P37" i="50"/>
  <c r="P39" i="50"/>
  <c r="P41" i="50"/>
  <c r="P42" i="50"/>
  <c r="P43" i="50"/>
  <c r="P44" i="50"/>
  <c r="P45" i="50"/>
  <c r="P46" i="50"/>
  <c r="P47" i="50"/>
  <c r="P48" i="50"/>
  <c r="P50" i="50"/>
  <c r="P51" i="50"/>
  <c r="P52" i="50"/>
  <c r="P54" i="50"/>
  <c r="P55" i="50"/>
  <c r="P56" i="50"/>
  <c r="P57" i="50"/>
  <c r="P59" i="50"/>
  <c r="P60" i="50"/>
  <c r="P62" i="50"/>
  <c r="P63" i="50"/>
  <c r="Q63" i="50" s="1"/>
  <c r="P64" i="50"/>
  <c r="P66" i="50"/>
  <c r="P67" i="50"/>
  <c r="P68" i="50"/>
  <c r="Q68" i="50" s="1"/>
  <c r="P69" i="50"/>
  <c r="P70" i="50"/>
  <c r="P71" i="50"/>
  <c r="P73" i="50"/>
  <c r="P75" i="50"/>
  <c r="P76" i="50"/>
  <c r="P77" i="50"/>
  <c r="P78" i="50"/>
  <c r="R78" i="50" s="1"/>
  <c r="P80" i="50"/>
  <c r="P81" i="50"/>
  <c r="P83" i="50"/>
  <c r="P84" i="50"/>
  <c r="P85" i="50"/>
  <c r="P86" i="50"/>
  <c r="P88" i="50"/>
  <c r="P90" i="50"/>
  <c r="R90" i="50" s="1"/>
  <c r="P91" i="50"/>
  <c r="P92" i="50"/>
  <c r="P94" i="50"/>
  <c r="P95" i="50"/>
  <c r="P97" i="50"/>
  <c r="P99" i="50"/>
  <c r="P100" i="50"/>
  <c r="P102" i="50"/>
  <c r="Q102" i="50" s="1"/>
  <c r="P103" i="50"/>
  <c r="P104" i="50"/>
  <c r="P106" i="50"/>
  <c r="P107" i="50"/>
  <c r="P109" i="50"/>
  <c r="P110" i="50"/>
  <c r="P111" i="50"/>
  <c r="P112" i="50"/>
  <c r="R112" i="50" s="1"/>
  <c r="P114" i="50"/>
  <c r="P116" i="50"/>
  <c r="P117" i="50"/>
  <c r="P118" i="50"/>
  <c r="Q118" i="50" s="1"/>
  <c r="P119" i="50"/>
  <c r="P120" i="50"/>
  <c r="P122" i="50"/>
  <c r="P124" i="50"/>
  <c r="R124" i="50" s="1"/>
  <c r="P125" i="50"/>
  <c r="H222" i="75"/>
  <c r="H194" i="75"/>
  <c r="H162" i="75"/>
  <c r="H132" i="75"/>
  <c r="H101" i="75"/>
  <c r="H69" i="75"/>
  <c r="H37" i="75"/>
  <c r="K5" i="75"/>
  <c r="L5" i="75"/>
  <c r="K6" i="75"/>
  <c r="K7" i="75"/>
  <c r="O85" i="45"/>
  <c r="P85" i="45" s="1"/>
  <c r="O73" i="45"/>
  <c r="P73" i="45" s="1"/>
  <c r="O60" i="45"/>
  <c r="P60" i="45" s="1"/>
  <c r="O45" i="45"/>
  <c r="P45" i="45" s="1"/>
  <c r="O35" i="45"/>
  <c r="P35" i="45" s="1"/>
  <c r="O25" i="45"/>
  <c r="P25" i="45" s="1"/>
  <c r="N12" i="45"/>
  <c r="O12" i="45"/>
  <c r="P12" i="45" s="1"/>
  <c r="J3" i="45"/>
  <c r="M171" i="46"/>
  <c r="M169" i="46"/>
  <c r="M167" i="46"/>
  <c r="M164" i="46"/>
  <c r="M159" i="46"/>
  <c r="M157" i="46"/>
  <c r="M155" i="46"/>
  <c r="M152" i="46"/>
  <c r="M148" i="46"/>
  <c r="M145" i="46"/>
  <c r="M143" i="46"/>
  <c r="M141" i="46"/>
  <c r="M137" i="46"/>
  <c r="M134" i="46"/>
  <c r="M132" i="46"/>
  <c r="M130" i="46"/>
  <c r="M128" i="46"/>
  <c r="M126" i="46"/>
  <c r="M123" i="46"/>
  <c r="M121" i="46"/>
  <c r="M117" i="46"/>
  <c r="M115" i="46"/>
  <c r="M113" i="46"/>
  <c r="M110" i="46"/>
  <c r="M106" i="46"/>
  <c r="M103" i="46"/>
  <c r="M101" i="46"/>
  <c r="M99" i="46"/>
  <c r="M94" i="46"/>
  <c r="M92" i="46"/>
  <c r="M90" i="46"/>
  <c r="M84" i="46"/>
  <c r="M81" i="46"/>
  <c r="M79" i="46"/>
  <c r="M77" i="46"/>
  <c r="M73" i="46"/>
  <c r="M71" i="46"/>
  <c r="M68" i="46"/>
  <c r="M66" i="46"/>
  <c r="M63" i="46"/>
  <c r="M59" i="46"/>
  <c r="M56" i="46"/>
  <c r="N56" i="46" s="1"/>
  <c r="M55" i="46"/>
  <c r="M53" i="46"/>
  <c r="M51" i="46"/>
  <c r="M48" i="46"/>
  <c r="N48" i="46" s="1"/>
  <c r="M45" i="46"/>
  <c r="M44" i="46"/>
  <c r="M42" i="46"/>
  <c r="M40" i="46"/>
  <c r="M38" i="46"/>
  <c r="M35" i="46"/>
  <c r="M34" i="46"/>
  <c r="M32" i="46"/>
  <c r="M29" i="46"/>
  <c r="M27" i="46"/>
  <c r="M24" i="46"/>
  <c r="M21" i="46"/>
  <c r="M19" i="46"/>
  <c r="M18" i="46"/>
  <c r="M17" i="46"/>
  <c r="N17" i="46" s="1"/>
  <c r="M16" i="46"/>
  <c r="M15" i="46"/>
  <c r="M14" i="46"/>
  <c r="N14" i="46" s="1"/>
  <c r="M13" i="46"/>
  <c r="M12" i="46"/>
  <c r="M11" i="46"/>
  <c r="M10" i="46"/>
  <c r="M9" i="46"/>
  <c r="N9" i="46"/>
  <c r="M172" i="1"/>
  <c r="M170" i="1"/>
  <c r="M167" i="1"/>
  <c r="M164" i="1"/>
  <c r="M160" i="1"/>
  <c r="M158" i="1"/>
  <c r="M156" i="1"/>
  <c r="M153" i="1"/>
  <c r="M149" i="1"/>
  <c r="M146" i="1"/>
  <c r="M144" i="1"/>
  <c r="M142" i="1"/>
  <c r="M138" i="1"/>
  <c r="M135" i="1"/>
  <c r="M133" i="1"/>
  <c r="M131" i="1"/>
  <c r="M129" i="1"/>
  <c r="M127" i="1"/>
  <c r="M124" i="1"/>
  <c r="M122" i="1"/>
  <c r="M118" i="1"/>
  <c r="M116" i="1"/>
  <c r="M114" i="1"/>
  <c r="M111" i="1"/>
  <c r="M107" i="1"/>
  <c r="M104" i="1"/>
  <c r="M102" i="1"/>
  <c r="M100" i="1"/>
  <c r="M95" i="1"/>
  <c r="M93" i="1"/>
  <c r="M91" i="1"/>
  <c r="M85" i="1"/>
  <c r="M82" i="1"/>
  <c r="M80" i="1"/>
  <c r="M78" i="1"/>
  <c r="M74" i="1"/>
  <c r="M72" i="1"/>
  <c r="M69" i="1"/>
  <c r="M67" i="1"/>
  <c r="M64" i="1"/>
  <c r="M60" i="1"/>
  <c r="M58" i="1"/>
  <c r="M56" i="1"/>
  <c r="M54" i="1"/>
  <c r="M52" i="1"/>
  <c r="M50" i="1"/>
  <c r="M47" i="1"/>
  <c r="M46" i="1"/>
  <c r="M43" i="1"/>
  <c r="M41" i="1"/>
  <c r="M39" i="1"/>
  <c r="M37" i="1"/>
  <c r="M35" i="1"/>
  <c r="M33" i="1"/>
  <c r="M30" i="1"/>
  <c r="M28" i="1"/>
  <c r="M26" i="1"/>
  <c r="M24" i="1"/>
  <c r="M22" i="1"/>
  <c r="M20" i="1"/>
  <c r="M19" i="1"/>
  <c r="M18" i="1"/>
  <c r="M17" i="1"/>
  <c r="M16" i="1"/>
  <c r="M15" i="1"/>
  <c r="M14" i="1"/>
  <c r="M13" i="1"/>
  <c r="M12" i="1"/>
  <c r="M11" i="1"/>
  <c r="M10" i="1"/>
  <c r="M9" i="1"/>
  <c r="N124" i="50"/>
  <c r="N122" i="50"/>
  <c r="N116" i="50"/>
  <c r="N114" i="50"/>
  <c r="N109" i="50"/>
  <c r="N106" i="50"/>
  <c r="N102" i="50"/>
  <c r="N99" i="50"/>
  <c r="N97" i="50"/>
  <c r="N94" i="50"/>
  <c r="N90" i="50"/>
  <c r="N88" i="50"/>
  <c r="N83" i="50"/>
  <c r="N80" i="50"/>
  <c r="N75" i="50"/>
  <c r="N73" i="50"/>
  <c r="N66" i="50"/>
  <c r="N62" i="50"/>
  <c r="N59" i="50"/>
  <c r="N54" i="50"/>
  <c r="N51" i="50"/>
  <c r="N50" i="50"/>
  <c r="N47" i="50"/>
  <c r="N44" i="50"/>
  <c r="N43" i="50"/>
  <c r="N41" i="50"/>
  <c r="N39" i="50"/>
  <c r="N36" i="50"/>
  <c r="N35" i="50"/>
  <c r="N33" i="50"/>
  <c r="N30" i="50"/>
  <c r="N28" i="50"/>
  <c r="N25" i="50"/>
  <c r="N22" i="50"/>
  <c r="O22" i="50" s="1"/>
  <c r="N21" i="50"/>
  <c r="N19" i="50"/>
  <c r="N18" i="50"/>
  <c r="N17" i="50"/>
  <c r="N16" i="50"/>
  <c r="N15" i="50"/>
  <c r="N14" i="50"/>
  <c r="N13" i="50"/>
  <c r="N12" i="50"/>
  <c r="O12" i="50" s="1"/>
  <c r="N11" i="50"/>
  <c r="N10" i="50"/>
  <c r="O10" i="50" s="1"/>
  <c r="N9" i="50"/>
  <c r="P16" i="36"/>
  <c r="R16" i="36"/>
  <c r="P17" i="36"/>
  <c r="P18" i="36"/>
  <c r="P20" i="36"/>
  <c r="R20" i="36"/>
  <c r="P23" i="36"/>
  <c r="P25" i="36"/>
  <c r="P26" i="36"/>
  <c r="P29" i="36"/>
  <c r="P31" i="36"/>
  <c r="P33" i="36"/>
  <c r="P35" i="36"/>
  <c r="P38" i="36"/>
  <c r="P40" i="36"/>
  <c r="P41" i="36"/>
  <c r="P44" i="36"/>
  <c r="P46" i="36"/>
  <c r="P48" i="36"/>
  <c r="P49" i="36"/>
  <c r="P50" i="36"/>
  <c r="P55" i="36"/>
  <c r="P57" i="36"/>
  <c r="P58" i="36"/>
  <c r="P60" i="36"/>
  <c r="P62" i="36"/>
  <c r="P63" i="36"/>
  <c r="P65" i="36"/>
  <c r="P67" i="36"/>
  <c r="P69" i="36"/>
  <c r="P70" i="36"/>
  <c r="P71" i="36"/>
  <c r="P74" i="36"/>
  <c r="P75" i="36"/>
  <c r="P77" i="36"/>
  <c r="P79" i="36"/>
  <c r="P80" i="36"/>
  <c r="P82" i="36"/>
  <c r="P83" i="36"/>
  <c r="P85" i="36"/>
  <c r="P86" i="36"/>
  <c r="P87" i="36"/>
  <c r="P89" i="36"/>
  <c r="P91" i="36"/>
  <c r="P93" i="36"/>
  <c r="P95" i="36"/>
  <c r="P96" i="36"/>
  <c r="R96" i="36"/>
  <c r="S96" i="36" s="1"/>
  <c r="P98" i="36"/>
  <c r="P100" i="36"/>
  <c r="P102" i="36"/>
  <c r="P104" i="36"/>
  <c r="R104" i="36"/>
  <c r="P106" i="36"/>
  <c r="P108" i="36"/>
  <c r="P110" i="36"/>
  <c r="P112" i="36"/>
  <c r="R112" i="36"/>
  <c r="P114" i="36"/>
  <c r="P116" i="36"/>
  <c r="P120" i="36"/>
  <c r="R120" i="36"/>
  <c r="P124" i="36"/>
  <c r="R10" i="36"/>
  <c r="R24" i="36"/>
  <c r="R28" i="36"/>
  <c r="R30" i="36"/>
  <c r="R36" i="36"/>
  <c r="R42" i="36"/>
  <c r="R48" i="36"/>
  <c r="R54" i="36"/>
  <c r="R59" i="36"/>
  <c r="R66" i="36"/>
  <c r="R90" i="36"/>
  <c r="R92" i="36"/>
  <c r="R97" i="36"/>
  <c r="R105" i="36"/>
  <c r="R115" i="36"/>
  <c r="R122" i="36"/>
  <c r="R12" i="36"/>
  <c r="R17" i="36"/>
  <c r="S17" i="36" s="1"/>
  <c r="R25" i="36"/>
  <c r="R26" i="36"/>
  <c r="S26" i="36" s="1"/>
  <c r="R29" i="36"/>
  <c r="S29" i="36" s="1"/>
  <c r="R31" i="36"/>
  <c r="R33" i="36"/>
  <c r="R35" i="36"/>
  <c r="R37" i="36"/>
  <c r="P37" i="36"/>
  <c r="R38" i="36"/>
  <c r="S38" i="36" s="1"/>
  <c r="R41" i="36"/>
  <c r="S41" i="36" s="1"/>
  <c r="R44" i="36"/>
  <c r="S44" i="36" s="1"/>
  <c r="R46" i="36"/>
  <c r="S46" i="36" s="1"/>
  <c r="R47" i="36"/>
  <c r="R49" i="36"/>
  <c r="R50" i="36"/>
  <c r="S50" i="36"/>
  <c r="R52" i="36"/>
  <c r="R53" i="36"/>
  <c r="R55" i="36"/>
  <c r="R57" i="36"/>
  <c r="R58" i="36"/>
  <c r="S58" i="36" s="1"/>
  <c r="R60" i="36"/>
  <c r="S60" i="36" s="1"/>
  <c r="R61" i="36"/>
  <c r="R63" i="36"/>
  <c r="R64" i="36"/>
  <c r="R65" i="36"/>
  <c r="R67" i="36"/>
  <c r="R70" i="36"/>
  <c r="S70" i="36" s="1"/>
  <c r="R71" i="36"/>
  <c r="R74" i="36"/>
  <c r="S74" i="36" s="1"/>
  <c r="R75" i="36"/>
  <c r="S75" i="36" s="1"/>
  <c r="R76" i="36"/>
  <c r="R77" i="36"/>
  <c r="R80" i="36"/>
  <c r="S80" i="36" s="1"/>
  <c r="R83" i="36"/>
  <c r="S83" i="36" s="1"/>
  <c r="R85" i="36"/>
  <c r="S85" i="36" s="1"/>
  <c r="R87" i="36"/>
  <c r="R89" i="36"/>
  <c r="S89" i="36" s="1"/>
  <c r="R91" i="36"/>
  <c r="R93" i="36"/>
  <c r="S93" i="36"/>
  <c r="R98" i="36"/>
  <c r="R100" i="36"/>
  <c r="S100" i="36" s="1"/>
  <c r="R101" i="36"/>
  <c r="R102" i="36"/>
  <c r="R106" i="36"/>
  <c r="S106" i="36" s="1"/>
  <c r="R108" i="36"/>
  <c r="R110" i="36"/>
  <c r="R114" i="36"/>
  <c r="R116" i="36"/>
  <c r="R117" i="36"/>
  <c r="R118" i="36"/>
  <c r="P118" i="36"/>
  <c r="R119" i="36"/>
  <c r="R123" i="36"/>
  <c r="P125" i="36"/>
  <c r="P12" i="36"/>
  <c r="P11" i="36"/>
  <c r="P10" i="36"/>
  <c r="S10" i="36" s="1"/>
  <c r="E38" i="34"/>
  <c r="F38" i="34" s="1"/>
  <c r="O9" i="45"/>
  <c r="P9" i="45" s="1"/>
  <c r="O10" i="45"/>
  <c r="O11" i="45"/>
  <c r="O13" i="45"/>
  <c r="O14" i="45"/>
  <c r="P14" i="45" s="1"/>
  <c r="O15" i="45"/>
  <c r="O17" i="45"/>
  <c r="O19" i="45"/>
  <c r="P19" i="45" s="1"/>
  <c r="O20" i="45"/>
  <c r="P20" i="45" s="1"/>
  <c r="O21" i="45"/>
  <c r="O22" i="45"/>
  <c r="O23" i="45"/>
  <c r="P23" i="45" s="1"/>
  <c r="O26" i="45"/>
  <c r="P26" i="45" s="1"/>
  <c r="O28" i="45"/>
  <c r="O29" i="45"/>
  <c r="O30" i="45"/>
  <c r="O32" i="45"/>
  <c r="P32" i="45" s="1"/>
  <c r="O33" i="45"/>
  <c r="O37" i="45"/>
  <c r="O38" i="45"/>
  <c r="P38" i="45" s="1"/>
  <c r="O39" i="45"/>
  <c r="P39" i="45" s="1"/>
  <c r="O41" i="45"/>
  <c r="O43" i="45"/>
  <c r="O44" i="45"/>
  <c r="P44" i="45" s="1"/>
  <c r="O47" i="45"/>
  <c r="P47" i="45"/>
  <c r="O49" i="45"/>
  <c r="O50" i="45"/>
  <c r="O51" i="45"/>
  <c r="P51" i="45"/>
  <c r="O54" i="45"/>
  <c r="P54" i="45" s="1"/>
  <c r="O55" i="45"/>
  <c r="O58" i="45"/>
  <c r="O63" i="45"/>
  <c r="P63" i="45" s="1"/>
  <c r="O64" i="45"/>
  <c r="O66" i="45"/>
  <c r="O67" i="45"/>
  <c r="O69" i="45"/>
  <c r="P69" i="45" s="1"/>
  <c r="O70" i="45"/>
  <c r="P70" i="45" s="1"/>
  <c r="O72" i="45"/>
  <c r="O75" i="45"/>
  <c r="O76" i="45"/>
  <c r="P76" i="45" s="1"/>
  <c r="O78" i="45"/>
  <c r="P78" i="45" s="1"/>
  <c r="O79" i="45"/>
  <c r="O81" i="45"/>
  <c r="O82" i="45"/>
  <c r="P82" i="45" s="1"/>
  <c r="O84" i="45"/>
  <c r="P84" i="45" s="1"/>
  <c r="O87" i="45"/>
  <c r="O88" i="45"/>
  <c r="O90" i="45"/>
  <c r="O91" i="45"/>
  <c r="P91" i="45" s="1"/>
  <c r="O93" i="45"/>
  <c r="O94" i="45"/>
  <c r="O96" i="45"/>
  <c r="O97" i="45"/>
  <c r="O99" i="45"/>
  <c r="O100" i="45"/>
  <c r="O102" i="45"/>
  <c r="O103" i="45"/>
  <c r="P103" i="45" s="1"/>
  <c r="O105" i="45"/>
  <c r="O106" i="45"/>
  <c r="O107" i="45"/>
  <c r="P107" i="45" s="1"/>
  <c r="O108" i="45"/>
  <c r="O109" i="45"/>
  <c r="O9" i="46"/>
  <c r="O10" i="46"/>
  <c r="O11" i="46"/>
  <c r="P11" i="46" s="1"/>
  <c r="O12" i="46"/>
  <c r="O13" i="46"/>
  <c r="P13" i="46" s="1"/>
  <c r="O14" i="46"/>
  <c r="O15" i="46"/>
  <c r="O16" i="46"/>
  <c r="O17" i="46"/>
  <c r="O18" i="46"/>
  <c r="O19" i="46"/>
  <c r="P19" i="46" s="1"/>
  <c r="O20" i="46"/>
  <c r="O21" i="46"/>
  <c r="P21" i="46" s="1"/>
  <c r="O22" i="46"/>
  <c r="O24" i="46"/>
  <c r="P24" i="46" s="1"/>
  <c r="O25" i="46"/>
  <c r="O27" i="46"/>
  <c r="O29" i="46"/>
  <c r="O30" i="46"/>
  <c r="O32" i="46"/>
  <c r="O34" i="46"/>
  <c r="O35" i="46"/>
  <c r="O36" i="46"/>
  <c r="O38" i="46"/>
  <c r="O40" i="46"/>
  <c r="O42" i="46"/>
  <c r="O43" i="46"/>
  <c r="P43" i="46" s="1"/>
  <c r="Q43" i="46" s="1"/>
  <c r="O44" i="46"/>
  <c r="O45" i="46"/>
  <c r="P45" i="46" s="1"/>
  <c r="O46" i="46"/>
  <c r="O47" i="46"/>
  <c r="O48" i="46"/>
  <c r="O49" i="46"/>
  <c r="P49" i="46" s="1"/>
  <c r="Q49" i="46" s="1"/>
  <c r="O51" i="46"/>
  <c r="O53" i="46"/>
  <c r="O55" i="46"/>
  <c r="O56" i="46"/>
  <c r="P56" i="46" s="1"/>
  <c r="O57" i="46"/>
  <c r="O59" i="46"/>
  <c r="O60" i="46"/>
  <c r="O61" i="46"/>
  <c r="P61" i="46" s="1"/>
  <c r="Q61" i="46" s="1"/>
  <c r="O63" i="46"/>
  <c r="O64" i="46"/>
  <c r="O66" i="46"/>
  <c r="O68" i="46"/>
  <c r="O69" i="46"/>
  <c r="O71" i="46"/>
  <c r="O73" i="46"/>
  <c r="O74" i="46"/>
  <c r="P74" i="46"/>
  <c r="Q74" i="46" s="1"/>
  <c r="O75" i="46"/>
  <c r="O77" i="46"/>
  <c r="O79" i="46"/>
  <c r="O81" i="46"/>
  <c r="O82" i="46"/>
  <c r="O84" i="46"/>
  <c r="O85" i="46"/>
  <c r="O86" i="46"/>
  <c r="O87" i="46"/>
  <c r="O88" i="46"/>
  <c r="O90" i="46"/>
  <c r="O92" i="46"/>
  <c r="O94" i="46"/>
  <c r="O95" i="46"/>
  <c r="O96" i="46"/>
  <c r="O97" i="46"/>
  <c r="O99" i="46"/>
  <c r="O101" i="46"/>
  <c r="O103" i="46"/>
  <c r="O104" i="46"/>
  <c r="P104" i="46" s="1"/>
  <c r="O106" i="46"/>
  <c r="O107" i="46"/>
  <c r="O108" i="46"/>
  <c r="O110" i="46"/>
  <c r="O111" i="46"/>
  <c r="O113" i="46"/>
  <c r="O115" i="46"/>
  <c r="O117" i="46"/>
  <c r="O118" i="46"/>
  <c r="O119" i="46"/>
  <c r="P119" i="46" s="1"/>
  <c r="Q119" i="46" s="1"/>
  <c r="O121" i="46"/>
  <c r="O123" i="46"/>
  <c r="O124" i="46"/>
  <c r="O126" i="46"/>
  <c r="O128" i="46"/>
  <c r="O130" i="46"/>
  <c r="O132" i="46"/>
  <c r="O134" i="46"/>
  <c r="O135" i="46"/>
  <c r="O137" i="46"/>
  <c r="O138" i="46"/>
  <c r="O139" i="46"/>
  <c r="P139" i="46"/>
  <c r="O141" i="46"/>
  <c r="O143" i="46"/>
  <c r="O145" i="46"/>
  <c r="O146" i="46"/>
  <c r="O148" i="46"/>
  <c r="O149" i="46"/>
  <c r="P149" i="46" s="1"/>
  <c r="Q149" i="46" s="1"/>
  <c r="O150" i="46"/>
  <c r="O152" i="46"/>
  <c r="O153" i="46"/>
  <c r="O155" i="46"/>
  <c r="O157" i="46"/>
  <c r="O159" i="46"/>
  <c r="O160" i="46"/>
  <c r="O161" i="46"/>
  <c r="P161" i="46" s="1"/>
  <c r="Q161" i="46" s="1"/>
  <c r="O162" i="46"/>
  <c r="O164" i="46"/>
  <c r="O165" i="46"/>
  <c r="O167" i="46"/>
  <c r="O169" i="46"/>
  <c r="O171" i="46"/>
  <c r="O172" i="46"/>
  <c r="H6" i="28"/>
  <c r="G6" i="28"/>
  <c r="I6" i="28" s="1"/>
  <c r="K6" i="28" s="1"/>
  <c r="B7" i="28"/>
  <c r="C7" i="28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95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79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63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47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32" i="34"/>
  <c r="H18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17" i="34"/>
  <c r="H3" i="34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2" i="34"/>
  <c r="F255" i="68"/>
  <c r="F256" i="68"/>
  <c r="F254" i="68"/>
  <c r="F213" i="68"/>
  <c r="F214" i="68"/>
  <c r="F212" i="68"/>
  <c r="F171" i="68"/>
  <c r="F172" i="68"/>
  <c r="F170" i="68"/>
  <c r="F129" i="68"/>
  <c r="F130" i="68"/>
  <c r="F128" i="68"/>
  <c r="F87" i="68"/>
  <c r="F88" i="68"/>
  <c r="F86" i="68"/>
  <c r="F45" i="68"/>
  <c r="F46" i="68"/>
  <c r="F44" i="68"/>
  <c r="F3" i="68"/>
  <c r="F4" i="68"/>
  <c r="F2" i="68"/>
  <c r="K197" i="75"/>
  <c r="K198" i="75"/>
  <c r="K199" i="75"/>
  <c r="K200" i="75"/>
  <c r="K201" i="75"/>
  <c r="K202" i="75"/>
  <c r="K204" i="75"/>
  <c r="K205" i="75"/>
  <c r="K213" i="75"/>
  <c r="K214" i="75"/>
  <c r="K215" i="75"/>
  <c r="K216" i="75"/>
  <c r="K217" i="75"/>
  <c r="K218" i="75"/>
  <c r="K219" i="75"/>
  <c r="K220" i="75"/>
  <c r="K221" i="75"/>
  <c r="K222" i="75"/>
  <c r="K223" i="75"/>
  <c r="K196" i="75"/>
  <c r="E469" i="74"/>
  <c r="E470" i="74"/>
  <c r="E471" i="74"/>
  <c r="E472" i="74"/>
  <c r="E473" i="74"/>
  <c r="E474" i="74"/>
  <c r="E475" i="74"/>
  <c r="E476" i="74"/>
  <c r="E477" i="74"/>
  <c r="E478" i="74"/>
  <c r="E479" i="74"/>
  <c r="E480" i="74"/>
  <c r="E481" i="74"/>
  <c r="E482" i="74"/>
  <c r="E483" i="74"/>
  <c r="E484" i="74"/>
  <c r="E485" i="74"/>
  <c r="E486" i="74"/>
  <c r="E487" i="74"/>
  <c r="E488" i="74"/>
  <c r="E489" i="74"/>
  <c r="E490" i="74"/>
  <c r="E491" i="74"/>
  <c r="E492" i="74"/>
  <c r="E493" i="74"/>
  <c r="E494" i="74"/>
  <c r="E495" i="74"/>
  <c r="E496" i="74"/>
  <c r="E497" i="74"/>
  <c r="E498" i="74"/>
  <c r="E499" i="74"/>
  <c r="E500" i="74"/>
  <c r="E501" i="74"/>
  <c r="E502" i="74"/>
  <c r="E503" i="74"/>
  <c r="E504" i="74"/>
  <c r="E505" i="74"/>
  <c r="E506" i="74"/>
  <c r="E507" i="74"/>
  <c r="E508" i="74"/>
  <c r="E509" i="74"/>
  <c r="E510" i="74"/>
  <c r="E511" i="74"/>
  <c r="E512" i="74"/>
  <c r="E513" i="74"/>
  <c r="E514" i="74"/>
  <c r="E515" i="74"/>
  <c r="E516" i="74"/>
  <c r="E517" i="74"/>
  <c r="E518" i="74"/>
  <c r="E519" i="74"/>
  <c r="E520" i="74"/>
  <c r="E521" i="74"/>
  <c r="E522" i="74"/>
  <c r="E523" i="74"/>
  <c r="E524" i="74"/>
  <c r="E525" i="74"/>
  <c r="E526" i="74"/>
  <c r="E527" i="74"/>
  <c r="E528" i="74"/>
  <c r="E529" i="74"/>
  <c r="E530" i="74"/>
  <c r="E531" i="74"/>
  <c r="E532" i="74"/>
  <c r="E533" i="74"/>
  <c r="E534" i="74"/>
  <c r="E535" i="74"/>
  <c r="E536" i="74"/>
  <c r="E537" i="74"/>
  <c r="E538" i="74"/>
  <c r="E539" i="74"/>
  <c r="E540" i="74"/>
  <c r="E541" i="74"/>
  <c r="E542" i="74"/>
  <c r="E543" i="74"/>
  <c r="E544" i="74"/>
  <c r="E545" i="74"/>
  <c r="E546" i="74"/>
  <c r="E547" i="74"/>
  <c r="E548" i="74"/>
  <c r="E549" i="74"/>
  <c r="E550" i="74"/>
  <c r="E551" i="74"/>
  <c r="E552" i="74"/>
  <c r="E553" i="74"/>
  <c r="E554" i="74"/>
  <c r="E555" i="74"/>
  <c r="E556" i="74"/>
  <c r="E557" i="74"/>
  <c r="E558" i="74"/>
  <c r="E559" i="74"/>
  <c r="E560" i="74"/>
  <c r="E561" i="74"/>
  <c r="E562" i="74"/>
  <c r="E563" i="74"/>
  <c r="E564" i="74"/>
  <c r="E565" i="74"/>
  <c r="E566" i="74"/>
  <c r="E567" i="74"/>
  <c r="E568" i="74"/>
  <c r="E569" i="74"/>
  <c r="E570" i="74"/>
  <c r="E571" i="74"/>
  <c r="E572" i="74"/>
  <c r="E573" i="74"/>
  <c r="E574" i="74"/>
  <c r="E575" i="74"/>
  <c r="E576" i="74"/>
  <c r="E577" i="74"/>
  <c r="E578" i="74"/>
  <c r="E579" i="74"/>
  <c r="E580" i="74"/>
  <c r="E581" i="74"/>
  <c r="E582" i="74"/>
  <c r="E583" i="74"/>
  <c r="E584" i="74"/>
  <c r="T28" i="76" s="1"/>
  <c r="U28" i="76" s="1"/>
  <c r="E468" i="74"/>
  <c r="E356" i="74"/>
  <c r="E357" i="74"/>
  <c r="E358" i="74"/>
  <c r="E359" i="74"/>
  <c r="E360" i="74"/>
  <c r="E255" i="74"/>
  <c r="E256" i="74"/>
  <c r="E257" i="74"/>
  <c r="E258" i="74"/>
  <c r="E259" i="74"/>
  <c r="E260" i="74"/>
  <c r="E261" i="74"/>
  <c r="E262" i="74"/>
  <c r="E263" i="74"/>
  <c r="E264" i="74"/>
  <c r="E265" i="74"/>
  <c r="E266" i="74"/>
  <c r="E267" i="74"/>
  <c r="E268" i="74"/>
  <c r="E269" i="74"/>
  <c r="E270" i="74"/>
  <c r="E271" i="74"/>
  <c r="E272" i="74"/>
  <c r="E273" i="74"/>
  <c r="E274" i="74"/>
  <c r="E275" i="74"/>
  <c r="E276" i="74"/>
  <c r="E277" i="74"/>
  <c r="E278" i="74"/>
  <c r="E279" i="74"/>
  <c r="E280" i="74"/>
  <c r="E281" i="74"/>
  <c r="E282" i="74"/>
  <c r="E283" i="74"/>
  <c r="E284" i="74"/>
  <c r="E285" i="74"/>
  <c r="E286" i="74"/>
  <c r="E287" i="74"/>
  <c r="E288" i="74"/>
  <c r="E289" i="74"/>
  <c r="E290" i="74"/>
  <c r="E291" i="74"/>
  <c r="E292" i="74"/>
  <c r="E293" i="74"/>
  <c r="E294" i="74"/>
  <c r="E295" i="74"/>
  <c r="E296" i="74"/>
  <c r="E297" i="74"/>
  <c r="E298" i="74"/>
  <c r="E299" i="74"/>
  <c r="E300" i="74"/>
  <c r="E301" i="74"/>
  <c r="E302" i="74"/>
  <c r="E303" i="74"/>
  <c r="E304" i="74"/>
  <c r="E305" i="74"/>
  <c r="E306" i="74"/>
  <c r="E307" i="74"/>
  <c r="E308" i="74"/>
  <c r="E309" i="74"/>
  <c r="E310" i="74"/>
  <c r="E311" i="74"/>
  <c r="E312" i="74"/>
  <c r="E313" i="74"/>
  <c r="E314" i="74"/>
  <c r="E315" i="74"/>
  <c r="E316" i="74"/>
  <c r="E317" i="74"/>
  <c r="E318" i="74"/>
  <c r="E319" i="74"/>
  <c r="E320" i="74"/>
  <c r="E321" i="74"/>
  <c r="E322" i="74"/>
  <c r="E323" i="74"/>
  <c r="E324" i="74"/>
  <c r="E325" i="74"/>
  <c r="E326" i="74"/>
  <c r="E327" i="74"/>
  <c r="E328" i="74"/>
  <c r="E329" i="74"/>
  <c r="E330" i="74"/>
  <c r="E331" i="74"/>
  <c r="E332" i="74"/>
  <c r="E333" i="74"/>
  <c r="E334" i="74"/>
  <c r="E335" i="74"/>
  <c r="E336" i="74"/>
  <c r="E337" i="74"/>
  <c r="E338" i="74"/>
  <c r="E339" i="74"/>
  <c r="E340" i="74"/>
  <c r="E341" i="74"/>
  <c r="E342" i="74"/>
  <c r="E343" i="74"/>
  <c r="E344" i="74"/>
  <c r="E345" i="74"/>
  <c r="E346" i="74"/>
  <c r="E347" i="74"/>
  <c r="E348" i="74"/>
  <c r="E349" i="74"/>
  <c r="E350" i="74"/>
  <c r="E351" i="74"/>
  <c r="E352" i="74"/>
  <c r="E353" i="74"/>
  <c r="E354" i="74"/>
  <c r="E355" i="74"/>
  <c r="E254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54" i="74"/>
  <c r="E55" i="74"/>
  <c r="E56" i="74"/>
  <c r="E57" i="74"/>
  <c r="E58" i="74"/>
  <c r="E59" i="74"/>
  <c r="E60" i="74"/>
  <c r="E61" i="74"/>
  <c r="E62" i="74"/>
  <c r="E63" i="74"/>
  <c r="E64" i="74"/>
  <c r="E65" i="74"/>
  <c r="E66" i="74"/>
  <c r="E67" i="74"/>
  <c r="E68" i="74"/>
  <c r="E69" i="74"/>
  <c r="E70" i="74"/>
  <c r="E71" i="74"/>
  <c r="E72" i="74"/>
  <c r="E73" i="74"/>
  <c r="E74" i="74"/>
  <c r="E75" i="74"/>
  <c r="E76" i="74"/>
  <c r="E77" i="74"/>
  <c r="E78" i="74"/>
  <c r="E79" i="74"/>
  <c r="E80" i="74"/>
  <c r="E81" i="74"/>
  <c r="E82" i="74"/>
  <c r="E83" i="74"/>
  <c r="E84" i="74"/>
  <c r="E85" i="74"/>
  <c r="E86" i="74"/>
  <c r="E87" i="74"/>
  <c r="E88" i="74"/>
  <c r="E89" i="74"/>
  <c r="E90" i="74"/>
  <c r="E91" i="74"/>
  <c r="E92" i="74"/>
  <c r="E93" i="74"/>
  <c r="E94" i="74"/>
  <c r="E95" i="74"/>
  <c r="E96" i="74"/>
  <c r="E97" i="74"/>
  <c r="E98" i="74"/>
  <c r="E99" i="74"/>
  <c r="E100" i="74"/>
  <c r="E101" i="74"/>
  <c r="E102" i="74"/>
  <c r="E103" i="74"/>
  <c r="E104" i="74"/>
  <c r="E105" i="74"/>
  <c r="E106" i="74"/>
  <c r="E107" i="74"/>
  <c r="E108" i="74"/>
  <c r="E109" i="74"/>
  <c r="E110" i="74"/>
  <c r="E111" i="74"/>
  <c r="E112" i="74"/>
  <c r="E113" i="74"/>
  <c r="E114" i="74"/>
  <c r="E115" i="74"/>
  <c r="E116" i="74"/>
  <c r="E117" i="74"/>
  <c r="E118" i="74"/>
  <c r="E119" i="74"/>
  <c r="E120" i="74"/>
  <c r="E121" i="74"/>
  <c r="E122" i="74"/>
  <c r="E123" i="74"/>
  <c r="E124" i="74"/>
  <c r="E125" i="74"/>
  <c r="E126" i="74"/>
  <c r="E127" i="74"/>
  <c r="E128" i="74"/>
  <c r="E129" i="74"/>
  <c r="E130" i="74"/>
  <c r="E131" i="74"/>
  <c r="E132" i="74"/>
  <c r="E133" i="74"/>
  <c r="E134" i="74"/>
  <c r="E135" i="74"/>
  <c r="E136" i="74"/>
  <c r="E137" i="74"/>
  <c r="E138" i="74"/>
  <c r="E139" i="74"/>
  <c r="E140" i="74"/>
  <c r="E141" i="74"/>
  <c r="E142" i="74"/>
  <c r="E143" i="74"/>
  <c r="E144" i="74"/>
  <c r="E145" i="74"/>
  <c r="E146" i="74"/>
  <c r="E147" i="74"/>
  <c r="E148" i="74"/>
  <c r="E149" i="74"/>
  <c r="E150" i="74"/>
  <c r="E151" i="74"/>
  <c r="E152" i="74"/>
  <c r="E153" i="74"/>
  <c r="E154" i="74"/>
  <c r="E155" i="74"/>
  <c r="E156" i="74"/>
  <c r="E157" i="74"/>
  <c r="D157" i="74" s="1"/>
  <c r="E158" i="74"/>
  <c r="E159" i="74"/>
  <c r="D159" i="74" s="1"/>
  <c r="E160" i="74"/>
  <c r="D160" i="74" s="1"/>
  <c r="E161" i="74"/>
  <c r="D161" i="74" s="1"/>
  <c r="E162" i="74"/>
  <c r="E163" i="74"/>
  <c r="D163" i="74" s="1"/>
  <c r="E164" i="74"/>
  <c r="D164" i="74" s="1"/>
  <c r="E165" i="74"/>
  <c r="D165" i="74" s="1"/>
  <c r="E166" i="74"/>
  <c r="P57" i="27" s="1"/>
  <c r="Q57" i="27" s="1"/>
  <c r="E167" i="74"/>
  <c r="D167" i="74" s="1"/>
  <c r="E168" i="74"/>
  <c r="D168" i="74" s="1"/>
  <c r="E169" i="74"/>
  <c r="D169" i="74" s="1"/>
  <c r="E170" i="74"/>
  <c r="D170" i="74" s="1"/>
  <c r="E171" i="74"/>
  <c r="D171" i="74"/>
  <c r="E172" i="74"/>
  <c r="D172" i="74" s="1"/>
  <c r="E173" i="74"/>
  <c r="D173" i="74" s="1"/>
  <c r="E174" i="74"/>
  <c r="E175" i="74"/>
  <c r="E176" i="74"/>
  <c r="E177" i="74"/>
  <c r="D177" i="74"/>
  <c r="E178" i="74"/>
  <c r="E179" i="74"/>
  <c r="E180" i="74"/>
  <c r="E181" i="74"/>
  <c r="E182" i="74"/>
  <c r="E183" i="74"/>
  <c r="E184" i="74"/>
  <c r="E185" i="74"/>
  <c r="E186" i="74"/>
  <c r="E187" i="74"/>
  <c r="E188" i="74"/>
  <c r="E189" i="74"/>
  <c r="E190" i="74"/>
  <c r="E191" i="74"/>
  <c r="E192" i="74"/>
  <c r="E193" i="74"/>
  <c r="M64" i="46" s="1"/>
  <c r="E194" i="74"/>
  <c r="E195" i="74"/>
  <c r="E196" i="74"/>
  <c r="E197" i="74"/>
  <c r="E198" i="74"/>
  <c r="E199" i="74"/>
  <c r="E200" i="74"/>
  <c r="E7" i="74"/>
  <c r="L199" i="75"/>
  <c r="K166" i="75"/>
  <c r="K165" i="75"/>
  <c r="K167" i="75"/>
  <c r="K168" i="75"/>
  <c r="K169" i="75"/>
  <c r="K170" i="75"/>
  <c r="K171" i="75"/>
  <c r="K177" i="75"/>
  <c r="K184" i="75"/>
  <c r="K185" i="75"/>
  <c r="K186" i="75"/>
  <c r="K187" i="75"/>
  <c r="K188" i="75"/>
  <c r="K189" i="75"/>
  <c r="K190" i="75"/>
  <c r="K191" i="75"/>
  <c r="K192" i="75"/>
  <c r="K193" i="75"/>
  <c r="K194" i="75"/>
  <c r="K195" i="75"/>
  <c r="K164" i="75"/>
  <c r="K136" i="75"/>
  <c r="K137" i="75"/>
  <c r="K140" i="75"/>
  <c r="K152" i="75"/>
  <c r="K156" i="75"/>
  <c r="K159" i="75"/>
  <c r="K163" i="75"/>
  <c r="K105" i="75"/>
  <c r="K106" i="75"/>
  <c r="K111" i="75"/>
  <c r="K126" i="75"/>
  <c r="K130" i="75"/>
  <c r="K78" i="75"/>
  <c r="K97" i="75"/>
  <c r="K4" i="75"/>
  <c r="K8" i="75"/>
  <c r="K31" i="75"/>
  <c r="K35" i="75"/>
  <c r="K38" i="75"/>
  <c r="K2" i="75"/>
  <c r="M187" i="75"/>
  <c r="M190" i="75" s="1"/>
  <c r="M188" i="75"/>
  <c r="M189" i="75"/>
  <c r="L167" i="75"/>
  <c r="M155" i="75"/>
  <c r="M158" i="75" s="1"/>
  <c r="M156" i="75"/>
  <c r="M157" i="75"/>
  <c r="L137" i="75"/>
  <c r="M125" i="75"/>
  <c r="M128" i="75" s="1"/>
  <c r="M126" i="75"/>
  <c r="M127" i="75"/>
  <c r="L106" i="75"/>
  <c r="M62" i="75"/>
  <c r="M65" i="75" s="1"/>
  <c r="M63" i="75"/>
  <c r="M64" i="75"/>
  <c r="L42" i="75"/>
  <c r="M30" i="75"/>
  <c r="M33" i="75" s="1"/>
  <c r="M31" i="75"/>
  <c r="M32" i="75"/>
  <c r="I9" i="63"/>
  <c r="J9" i="63"/>
  <c r="K9" i="63" s="1"/>
  <c r="I10" i="63"/>
  <c r="J10" i="63"/>
  <c r="K10" i="63" s="1"/>
  <c r="I11" i="63"/>
  <c r="J11" i="63"/>
  <c r="K11" i="63" s="1"/>
  <c r="I12" i="63"/>
  <c r="J12" i="63"/>
  <c r="K12" i="63" s="1"/>
  <c r="I13" i="63"/>
  <c r="J13" i="63"/>
  <c r="K13" i="63" s="1"/>
  <c r="M13" i="63" s="1"/>
  <c r="N13" i="63" s="1"/>
  <c r="I14" i="63"/>
  <c r="J14" i="63"/>
  <c r="K14" i="63" s="1"/>
  <c r="I15" i="63"/>
  <c r="J15" i="63"/>
  <c r="K15" i="63" s="1"/>
  <c r="I16" i="63"/>
  <c r="J16" i="63"/>
  <c r="K16" i="63" s="1"/>
  <c r="L16" i="63" s="1"/>
  <c r="I17" i="63"/>
  <c r="M17" i="63" s="1"/>
  <c r="O17" i="63" s="1"/>
  <c r="P17" i="63" s="1"/>
  <c r="J17" i="63"/>
  <c r="K17" i="63" s="1"/>
  <c r="I18" i="63"/>
  <c r="J18" i="63"/>
  <c r="K18" i="63" s="1"/>
  <c r="I19" i="63"/>
  <c r="J19" i="63"/>
  <c r="K19" i="63" s="1"/>
  <c r="L19" i="63" s="1"/>
  <c r="I20" i="63"/>
  <c r="J20" i="63"/>
  <c r="K20" i="63" s="1"/>
  <c r="I21" i="63"/>
  <c r="J21" i="63"/>
  <c r="K21" i="63" s="1"/>
  <c r="L21" i="63" s="1"/>
  <c r="I22" i="63"/>
  <c r="J22" i="63"/>
  <c r="K22" i="63" s="1"/>
  <c r="M22" i="63" s="1"/>
  <c r="I23" i="63"/>
  <c r="J23" i="63"/>
  <c r="K23" i="63" s="1"/>
  <c r="L23" i="63" s="1"/>
  <c r="I24" i="63"/>
  <c r="J24" i="63"/>
  <c r="K24" i="63" s="1"/>
  <c r="I25" i="63"/>
  <c r="J25" i="63"/>
  <c r="K25" i="63" s="1"/>
  <c r="I26" i="63"/>
  <c r="J26" i="63"/>
  <c r="K26" i="63" s="1"/>
  <c r="I27" i="63"/>
  <c r="J27" i="63"/>
  <c r="K27" i="63" s="1"/>
  <c r="L27" i="63" s="1"/>
  <c r="I28" i="63"/>
  <c r="J28" i="63"/>
  <c r="K28" i="63" s="1"/>
  <c r="L28" i="63" s="1"/>
  <c r="I29" i="63"/>
  <c r="J29" i="63"/>
  <c r="K29" i="63" s="1"/>
  <c r="I30" i="63"/>
  <c r="J30" i="63"/>
  <c r="K30" i="63" s="1"/>
  <c r="I31" i="63"/>
  <c r="J31" i="63"/>
  <c r="K31" i="63" s="1"/>
  <c r="L31" i="63" s="1"/>
  <c r="I32" i="63"/>
  <c r="J32" i="63"/>
  <c r="K32" i="63" s="1"/>
  <c r="I33" i="63"/>
  <c r="J33" i="63"/>
  <c r="K33" i="63" s="1"/>
  <c r="I34" i="63"/>
  <c r="J34" i="63"/>
  <c r="K34" i="63" s="1"/>
  <c r="I35" i="63"/>
  <c r="J35" i="63"/>
  <c r="K35" i="63" s="1"/>
  <c r="L35" i="63" s="1"/>
  <c r="I36" i="63"/>
  <c r="J36" i="63"/>
  <c r="K36" i="63" s="1"/>
  <c r="I37" i="63"/>
  <c r="J37" i="63"/>
  <c r="K37" i="63" s="1"/>
  <c r="I38" i="63"/>
  <c r="J38" i="63"/>
  <c r="K38" i="63" s="1"/>
  <c r="I39" i="63"/>
  <c r="J39" i="63"/>
  <c r="K39" i="63" s="1"/>
  <c r="I40" i="63"/>
  <c r="J40" i="63"/>
  <c r="K40" i="63" s="1"/>
  <c r="L40" i="63" s="1"/>
  <c r="I41" i="63"/>
  <c r="J41" i="63"/>
  <c r="K41" i="63" s="1"/>
  <c r="I42" i="63"/>
  <c r="J42" i="63"/>
  <c r="K42" i="63" s="1"/>
  <c r="I43" i="63"/>
  <c r="J43" i="63"/>
  <c r="K43" i="63"/>
  <c r="L43" i="63" s="1"/>
  <c r="I44" i="63"/>
  <c r="J44" i="63"/>
  <c r="K44" i="63" s="1"/>
  <c r="I45" i="63"/>
  <c r="J45" i="63"/>
  <c r="K45" i="63" s="1"/>
  <c r="I46" i="63"/>
  <c r="J46" i="63"/>
  <c r="K46" i="63" s="1"/>
  <c r="I47" i="63"/>
  <c r="J47" i="63"/>
  <c r="K47" i="63" s="1"/>
  <c r="I48" i="63"/>
  <c r="J48" i="63"/>
  <c r="K48" i="63" s="1"/>
  <c r="I49" i="63"/>
  <c r="J49" i="63"/>
  <c r="K49" i="63" s="1"/>
  <c r="L49" i="63" s="1"/>
  <c r="I50" i="63"/>
  <c r="J50" i="63"/>
  <c r="K50" i="63" s="1"/>
  <c r="I51" i="63"/>
  <c r="J51" i="63"/>
  <c r="K51" i="63" s="1"/>
  <c r="L51" i="63" s="1"/>
  <c r="I52" i="63"/>
  <c r="J52" i="63"/>
  <c r="K52" i="63" s="1"/>
  <c r="L52" i="63" s="1"/>
  <c r="I53" i="63"/>
  <c r="J53" i="63"/>
  <c r="K53" i="63" s="1"/>
  <c r="L53" i="63" s="1"/>
  <c r="I54" i="63"/>
  <c r="J54" i="63"/>
  <c r="K54" i="63" s="1"/>
  <c r="I55" i="63"/>
  <c r="J55" i="63"/>
  <c r="K55" i="63"/>
  <c r="I56" i="63"/>
  <c r="J56" i="63"/>
  <c r="K56" i="63" s="1"/>
  <c r="L56" i="63" s="1"/>
  <c r="I57" i="63"/>
  <c r="J57" i="63"/>
  <c r="K57" i="63" s="1"/>
  <c r="I59" i="63"/>
  <c r="J59" i="63"/>
  <c r="K59" i="63"/>
  <c r="L59" i="63" s="1"/>
  <c r="I60" i="63"/>
  <c r="J60" i="63"/>
  <c r="K60" i="63" s="1"/>
  <c r="I61" i="63"/>
  <c r="J61" i="63"/>
  <c r="K61" i="63" s="1"/>
  <c r="I62" i="63"/>
  <c r="J62" i="63"/>
  <c r="K62" i="63" s="1"/>
  <c r="I63" i="63"/>
  <c r="J63" i="63"/>
  <c r="K63" i="63" s="1"/>
  <c r="I64" i="63"/>
  <c r="J64" i="63"/>
  <c r="K64" i="63"/>
  <c r="I65" i="63"/>
  <c r="J65" i="63"/>
  <c r="K65" i="63" s="1"/>
  <c r="I66" i="63"/>
  <c r="J66" i="63"/>
  <c r="K66" i="63" s="1"/>
  <c r="I67" i="63"/>
  <c r="J67" i="63"/>
  <c r="K67" i="63" s="1"/>
  <c r="I68" i="63"/>
  <c r="J68" i="63"/>
  <c r="K68" i="63" s="1"/>
  <c r="I69" i="63"/>
  <c r="J69" i="63"/>
  <c r="K69" i="63" s="1"/>
  <c r="L69" i="63" s="1"/>
  <c r="I70" i="63"/>
  <c r="J70" i="63"/>
  <c r="K70" i="63" s="1"/>
  <c r="I71" i="63"/>
  <c r="J71" i="63"/>
  <c r="K71" i="63" s="1"/>
  <c r="I72" i="63"/>
  <c r="J72" i="63"/>
  <c r="K72" i="63" s="1"/>
  <c r="I73" i="63"/>
  <c r="J73" i="63"/>
  <c r="K73" i="63" s="1"/>
  <c r="L73" i="63" s="1"/>
  <c r="I74" i="63"/>
  <c r="J74" i="63"/>
  <c r="K74" i="63" s="1"/>
  <c r="L74" i="63" s="1"/>
  <c r="I75" i="63"/>
  <c r="J75" i="63"/>
  <c r="K75" i="63" s="1"/>
  <c r="L75" i="63" s="1"/>
  <c r="I76" i="63"/>
  <c r="J76" i="63"/>
  <c r="K76" i="63"/>
  <c r="I77" i="63"/>
  <c r="J77" i="63"/>
  <c r="K77" i="63" s="1"/>
  <c r="L77" i="63" s="1"/>
  <c r="I78" i="63"/>
  <c r="J78" i="63"/>
  <c r="K78" i="63" s="1"/>
  <c r="I79" i="63"/>
  <c r="J79" i="63"/>
  <c r="K79" i="63" s="1"/>
  <c r="I80" i="63"/>
  <c r="J80" i="63"/>
  <c r="K80" i="63" s="1"/>
  <c r="I81" i="63"/>
  <c r="J81" i="63"/>
  <c r="K81" i="63" s="1"/>
  <c r="I82" i="63"/>
  <c r="J82" i="63"/>
  <c r="K82" i="63" s="1"/>
  <c r="I83" i="63"/>
  <c r="J83" i="63"/>
  <c r="K83" i="63" s="1"/>
  <c r="I84" i="63"/>
  <c r="J84" i="63"/>
  <c r="K84" i="63" s="1"/>
  <c r="I85" i="63"/>
  <c r="J85" i="63"/>
  <c r="K85" i="63" s="1"/>
  <c r="L85" i="63" s="1"/>
  <c r="I86" i="63"/>
  <c r="J86" i="63"/>
  <c r="K86" i="63" s="1"/>
  <c r="I87" i="63"/>
  <c r="J87" i="63"/>
  <c r="K87" i="63" s="1"/>
  <c r="I88" i="63"/>
  <c r="J88" i="63"/>
  <c r="K88" i="63" s="1"/>
  <c r="I89" i="63"/>
  <c r="J89" i="63"/>
  <c r="K89" i="63" s="1"/>
  <c r="I90" i="63"/>
  <c r="J90" i="63"/>
  <c r="K90" i="63" s="1"/>
  <c r="I91" i="63"/>
  <c r="J91" i="63"/>
  <c r="K91" i="63" s="1"/>
  <c r="I92" i="63"/>
  <c r="J92" i="63"/>
  <c r="K92" i="63"/>
  <c r="I93" i="63"/>
  <c r="J93" i="63"/>
  <c r="K93" i="63" s="1"/>
  <c r="I94" i="63"/>
  <c r="J94" i="63"/>
  <c r="K94" i="63" s="1"/>
  <c r="I95" i="63"/>
  <c r="J95" i="63"/>
  <c r="K95" i="63" s="1"/>
  <c r="I96" i="63"/>
  <c r="J96" i="63"/>
  <c r="K96" i="63" s="1"/>
  <c r="I97" i="63"/>
  <c r="J97" i="63"/>
  <c r="K97" i="63" s="1"/>
  <c r="L97" i="63"/>
  <c r="I98" i="63"/>
  <c r="J98" i="63"/>
  <c r="K98" i="63" s="1"/>
  <c r="I99" i="63"/>
  <c r="J99" i="63"/>
  <c r="K99" i="63" s="1"/>
  <c r="L99" i="63" s="1"/>
  <c r="I100" i="63"/>
  <c r="J100" i="63"/>
  <c r="K100" i="63" s="1"/>
  <c r="I101" i="63"/>
  <c r="J101" i="63"/>
  <c r="K101" i="63" s="1"/>
  <c r="I102" i="63"/>
  <c r="J102" i="63"/>
  <c r="K102" i="63" s="1"/>
  <c r="L102" i="63" s="1"/>
  <c r="I103" i="63"/>
  <c r="J103" i="63"/>
  <c r="K103" i="63" s="1"/>
  <c r="I104" i="63"/>
  <c r="J104" i="63"/>
  <c r="K104" i="63" s="1"/>
  <c r="I105" i="63"/>
  <c r="J105" i="63"/>
  <c r="K105" i="63" s="1"/>
  <c r="I106" i="63"/>
  <c r="J106" i="63"/>
  <c r="K106" i="63" s="1"/>
  <c r="I107" i="63"/>
  <c r="J107" i="63"/>
  <c r="K107" i="63" s="1"/>
  <c r="L107" i="63" s="1"/>
  <c r="I108" i="63"/>
  <c r="J108" i="63"/>
  <c r="K108" i="63" s="1"/>
  <c r="I109" i="63"/>
  <c r="J109" i="63"/>
  <c r="K109" i="63" s="1"/>
  <c r="I110" i="63"/>
  <c r="J110" i="63"/>
  <c r="K110" i="63" s="1"/>
  <c r="I111" i="63"/>
  <c r="J111" i="63"/>
  <c r="K111" i="63"/>
  <c r="L111" i="63" s="1"/>
  <c r="I112" i="63"/>
  <c r="J112" i="63"/>
  <c r="K112" i="63"/>
  <c r="L112" i="63" s="1"/>
  <c r="I113" i="63"/>
  <c r="J113" i="63"/>
  <c r="K113" i="63" s="1"/>
  <c r="I114" i="63"/>
  <c r="J114" i="63"/>
  <c r="K114" i="63" s="1"/>
  <c r="I115" i="63"/>
  <c r="J115" i="63"/>
  <c r="K115" i="63" s="1"/>
  <c r="I116" i="63"/>
  <c r="J116" i="63"/>
  <c r="K116" i="63" s="1"/>
  <c r="L116" i="63" s="1"/>
  <c r="P117" i="63"/>
  <c r="I118" i="63"/>
  <c r="J118" i="63"/>
  <c r="K118" i="63" s="1"/>
  <c r="L118" i="63" s="1"/>
  <c r="I119" i="63"/>
  <c r="J119" i="63"/>
  <c r="K119" i="63" s="1"/>
  <c r="L119" i="63" s="1"/>
  <c r="I120" i="63"/>
  <c r="J120" i="63"/>
  <c r="K120" i="63" s="1"/>
  <c r="I121" i="63"/>
  <c r="J121" i="63"/>
  <c r="K121" i="63"/>
  <c r="I122" i="63"/>
  <c r="J122" i="63"/>
  <c r="K122" i="63" s="1"/>
  <c r="L122" i="63" s="1"/>
  <c r="I123" i="63"/>
  <c r="J123" i="63"/>
  <c r="K123" i="63" s="1"/>
  <c r="L123" i="63" s="1"/>
  <c r="I124" i="63"/>
  <c r="J124" i="63"/>
  <c r="K124" i="63" s="1"/>
  <c r="I125" i="63"/>
  <c r="J125" i="63"/>
  <c r="K125" i="63" s="1"/>
  <c r="L125" i="63" s="1"/>
  <c r="I126" i="63"/>
  <c r="J126" i="63"/>
  <c r="K126" i="63" s="1"/>
  <c r="I127" i="63"/>
  <c r="J127" i="63"/>
  <c r="K127" i="63" s="1"/>
  <c r="I128" i="63"/>
  <c r="J128" i="63"/>
  <c r="K128" i="63"/>
  <c r="I129" i="63"/>
  <c r="J129" i="63"/>
  <c r="K129" i="63" s="1"/>
  <c r="I130" i="63"/>
  <c r="J130" i="63"/>
  <c r="K130" i="63" s="1"/>
  <c r="I131" i="63"/>
  <c r="M131" i="63" s="1"/>
  <c r="O131" i="63" s="1"/>
  <c r="P131" i="63" s="1"/>
  <c r="J131" i="63"/>
  <c r="K131" i="63" s="1"/>
  <c r="I132" i="63"/>
  <c r="J132" i="63"/>
  <c r="K132" i="63" s="1"/>
  <c r="I133" i="63"/>
  <c r="J133" i="63"/>
  <c r="K133" i="63" s="1"/>
  <c r="I134" i="63"/>
  <c r="J134" i="63"/>
  <c r="K134" i="63" s="1"/>
  <c r="I135" i="63"/>
  <c r="J135" i="63"/>
  <c r="K135" i="63" s="1"/>
  <c r="I136" i="63"/>
  <c r="J136" i="63"/>
  <c r="K136" i="63"/>
  <c r="I137" i="63"/>
  <c r="J137" i="63"/>
  <c r="K137" i="63" s="1"/>
  <c r="I139" i="63"/>
  <c r="J139" i="63"/>
  <c r="K139" i="63" s="1"/>
  <c r="I140" i="63"/>
  <c r="J140" i="63"/>
  <c r="K140" i="63"/>
  <c r="L140" i="63" s="1"/>
  <c r="I141" i="63"/>
  <c r="J141" i="63"/>
  <c r="K141" i="63"/>
  <c r="I142" i="63"/>
  <c r="J142" i="63"/>
  <c r="K142" i="63" s="1"/>
  <c r="L142" i="63" s="1"/>
  <c r="I143" i="63"/>
  <c r="J143" i="63"/>
  <c r="K143" i="63" s="1"/>
  <c r="I144" i="63"/>
  <c r="J144" i="63"/>
  <c r="K144" i="63" s="1"/>
  <c r="L144" i="63" s="1"/>
  <c r="I145" i="63"/>
  <c r="M145" i="63" s="1"/>
  <c r="J145" i="63"/>
  <c r="K145" i="63" s="1"/>
  <c r="I146" i="63"/>
  <c r="J146" i="63"/>
  <c r="K146" i="63" s="1"/>
  <c r="I147" i="63"/>
  <c r="J147" i="63"/>
  <c r="K147" i="63" s="1"/>
  <c r="M147" i="63" s="1"/>
  <c r="I148" i="63"/>
  <c r="J148" i="63"/>
  <c r="K148" i="63" s="1"/>
  <c r="L148" i="63" s="1"/>
  <c r="I149" i="63"/>
  <c r="J149" i="63"/>
  <c r="K149" i="63" s="1"/>
  <c r="I150" i="63"/>
  <c r="J150" i="63"/>
  <c r="K150" i="63" s="1"/>
  <c r="E233" i="73"/>
  <c r="G233" i="73" s="1"/>
  <c r="D233" i="73"/>
  <c r="F233" i="73" s="1"/>
  <c r="G214" i="73"/>
  <c r="G215" i="73"/>
  <c r="G216" i="73"/>
  <c r="G217" i="73"/>
  <c r="G218" i="73"/>
  <c r="G220" i="73"/>
  <c r="G221" i="73"/>
  <c r="G222" i="73"/>
  <c r="G223" i="73"/>
  <c r="G224" i="73"/>
  <c r="G225" i="73"/>
  <c r="G226" i="73"/>
  <c r="G227" i="73"/>
  <c r="G228" i="73"/>
  <c r="G229" i="73"/>
  <c r="E234" i="73"/>
  <c r="G234" i="73" s="1"/>
  <c r="E235" i="73"/>
  <c r="G235" i="73" s="1"/>
  <c r="D214" i="73"/>
  <c r="F214" i="73" s="1"/>
  <c r="F215" i="73"/>
  <c r="F216" i="73"/>
  <c r="F218" i="73"/>
  <c r="F220" i="73"/>
  <c r="F221" i="73"/>
  <c r="F222" i="73"/>
  <c r="F223" i="73"/>
  <c r="F224" i="73"/>
  <c r="F225" i="73"/>
  <c r="F226" i="73"/>
  <c r="F227" i="73"/>
  <c r="F228" i="73"/>
  <c r="F229" i="73"/>
  <c r="F234" i="73"/>
  <c r="F235" i="73"/>
  <c r="P215" i="73"/>
  <c r="M212" i="73"/>
  <c r="M213" i="73" s="1"/>
  <c r="P212" i="73"/>
  <c r="M211" i="73"/>
  <c r="F203" i="73"/>
  <c r="E183" i="73"/>
  <c r="G183" i="73" s="1"/>
  <c r="G186" i="73"/>
  <c r="G187" i="73"/>
  <c r="E188" i="73"/>
  <c r="G188" i="73" s="1"/>
  <c r="G189" i="73"/>
  <c r="G190" i="73"/>
  <c r="E195" i="73"/>
  <c r="G195" i="73" s="1"/>
  <c r="G196" i="73"/>
  <c r="E197" i="73"/>
  <c r="G197" i="73" s="1"/>
  <c r="F183" i="73"/>
  <c r="D186" i="73"/>
  <c r="F186" i="73" s="1"/>
  <c r="F188" i="73"/>
  <c r="D189" i="73"/>
  <c r="F189" i="73" s="1"/>
  <c r="D190" i="73"/>
  <c r="F190" i="73" s="1"/>
  <c r="D191" i="73"/>
  <c r="F191" i="73" s="1"/>
  <c r="F195" i="73"/>
  <c r="J195" i="73" s="1"/>
  <c r="F196" i="73"/>
  <c r="F198" i="73" s="1"/>
  <c r="F197" i="73"/>
  <c r="J197" i="73" s="1"/>
  <c r="J196" i="73"/>
  <c r="G191" i="73"/>
  <c r="I190" i="73"/>
  <c r="F173" i="73"/>
  <c r="F153" i="73"/>
  <c r="E155" i="73"/>
  <c r="G155" i="73" s="1"/>
  <c r="G156" i="73"/>
  <c r="G157" i="73"/>
  <c r="G158" i="73"/>
  <c r="G159" i="73"/>
  <c r="G160" i="73"/>
  <c r="E165" i="73"/>
  <c r="G165" i="73" s="1"/>
  <c r="G168" i="73" s="1"/>
  <c r="G166" i="73"/>
  <c r="E167" i="73"/>
  <c r="G167" i="73"/>
  <c r="F154" i="73"/>
  <c r="F155" i="73"/>
  <c r="F157" i="73"/>
  <c r="F158" i="73"/>
  <c r="F159" i="73"/>
  <c r="F160" i="73"/>
  <c r="F165" i="73"/>
  <c r="F166" i="73"/>
  <c r="F167" i="73"/>
  <c r="J167" i="73" s="1"/>
  <c r="J166" i="73"/>
  <c r="I168" i="73"/>
  <c r="F143" i="73"/>
  <c r="E124" i="73"/>
  <c r="G124" i="73" s="1"/>
  <c r="G134" i="73" s="1"/>
  <c r="E126" i="73"/>
  <c r="G126" i="73" s="1"/>
  <c r="G137" i="73"/>
  <c r="G125" i="73"/>
  <c r="G127" i="73"/>
  <c r="G128" i="73"/>
  <c r="G129" i="73"/>
  <c r="G130" i="73"/>
  <c r="G131" i="73"/>
  <c r="E136" i="73"/>
  <c r="G136" i="73" s="1"/>
  <c r="E138" i="73"/>
  <c r="G138" i="73" s="1"/>
  <c r="F124" i="73"/>
  <c r="F125" i="73"/>
  <c r="F126" i="73"/>
  <c r="F127" i="73"/>
  <c r="F128" i="73"/>
  <c r="I129" i="73"/>
  <c r="D129" i="73" s="1"/>
  <c r="F129" i="73" s="1"/>
  <c r="F130" i="73"/>
  <c r="F136" i="73"/>
  <c r="F137" i="73"/>
  <c r="F138" i="73"/>
  <c r="J138" i="73" s="1"/>
  <c r="J137" i="73"/>
  <c r="F114" i="73"/>
  <c r="E97" i="73"/>
  <c r="G97" i="73" s="1"/>
  <c r="G105" i="73" s="1"/>
  <c r="E103" i="73"/>
  <c r="G103" i="73" s="1"/>
  <c r="G98" i="73"/>
  <c r="G99" i="73"/>
  <c r="G100" i="73"/>
  <c r="G101" i="73"/>
  <c r="G102" i="73"/>
  <c r="E107" i="73"/>
  <c r="G107" i="73" s="1"/>
  <c r="G108" i="73"/>
  <c r="F109" i="73"/>
  <c r="E109" i="73"/>
  <c r="F97" i="73"/>
  <c r="F98" i="73"/>
  <c r="F99" i="73"/>
  <c r="F100" i="73"/>
  <c r="F101" i="73"/>
  <c r="F103" i="73"/>
  <c r="F107" i="73"/>
  <c r="F108" i="73"/>
  <c r="J108" i="73"/>
  <c r="F58" i="73"/>
  <c r="E39" i="73"/>
  <c r="G39" i="73" s="1"/>
  <c r="G48" i="73" s="1"/>
  <c r="G40" i="73"/>
  <c r="G41" i="73"/>
  <c r="G42" i="73"/>
  <c r="G43" i="73"/>
  <c r="G44" i="73"/>
  <c r="G45" i="73"/>
  <c r="G46" i="73"/>
  <c r="E50" i="73"/>
  <c r="G50" i="73" s="1"/>
  <c r="G51" i="73"/>
  <c r="G52" i="73"/>
  <c r="F39" i="73"/>
  <c r="F40" i="73"/>
  <c r="F41" i="73"/>
  <c r="F43" i="73"/>
  <c r="F44" i="73"/>
  <c r="F45" i="73"/>
  <c r="D46" i="73"/>
  <c r="F46" i="73" s="1"/>
  <c r="F50" i="73"/>
  <c r="F53" i="73" s="1"/>
  <c r="F51" i="73"/>
  <c r="F52" i="73"/>
  <c r="J52" i="73" s="1"/>
  <c r="J50" i="73"/>
  <c r="J51" i="73"/>
  <c r="F87" i="73"/>
  <c r="E68" i="73"/>
  <c r="G68" i="73" s="1"/>
  <c r="G70" i="73"/>
  <c r="E71" i="73"/>
  <c r="G71" i="73"/>
  <c r="G72" i="73"/>
  <c r="E73" i="73"/>
  <c r="G73" i="73" s="1"/>
  <c r="G74" i="73"/>
  <c r="G75" i="73"/>
  <c r="E79" i="73"/>
  <c r="G79" i="73" s="1"/>
  <c r="G80" i="73"/>
  <c r="E81" i="73"/>
  <c r="G81" i="73" s="1"/>
  <c r="F68" i="73"/>
  <c r="F70" i="73"/>
  <c r="F71" i="73"/>
  <c r="F72" i="73"/>
  <c r="F73" i="73"/>
  <c r="F74" i="73"/>
  <c r="F75" i="73"/>
  <c r="F79" i="73"/>
  <c r="F80" i="73"/>
  <c r="F82" i="73" s="1"/>
  <c r="F81" i="73"/>
  <c r="J80" i="73"/>
  <c r="F29" i="73"/>
  <c r="G11" i="73"/>
  <c r="G12" i="73"/>
  <c r="G13" i="73"/>
  <c r="G14" i="73"/>
  <c r="G15" i="73"/>
  <c r="G16" i="73"/>
  <c r="G17" i="73"/>
  <c r="E21" i="73"/>
  <c r="G21" i="73"/>
  <c r="G22" i="73"/>
  <c r="E23" i="73"/>
  <c r="G23" i="73" s="1"/>
  <c r="F11" i="73"/>
  <c r="F12" i="73"/>
  <c r="I14" i="73"/>
  <c r="D14" i="73" s="1"/>
  <c r="F14" i="73" s="1"/>
  <c r="F15" i="73"/>
  <c r="F16" i="73"/>
  <c r="D17" i="73"/>
  <c r="F17" i="73" s="1"/>
  <c r="F21" i="73"/>
  <c r="F22" i="73"/>
  <c r="F23" i="73"/>
  <c r="J23" i="73" s="1"/>
  <c r="J22" i="73"/>
  <c r="I6" i="73"/>
  <c r="F107" i="34"/>
  <c r="F92" i="34"/>
  <c r="F76" i="34"/>
  <c r="F29" i="34"/>
  <c r="F44" i="34"/>
  <c r="D65" i="68"/>
  <c r="D275" i="68"/>
  <c r="D233" i="68"/>
  <c r="D191" i="68"/>
  <c r="D149" i="68"/>
  <c r="D107" i="68"/>
  <c r="C5" i="28"/>
  <c r="E5" i="28"/>
  <c r="G5" i="28"/>
  <c r="H5" i="28"/>
  <c r="B5" i="28"/>
  <c r="G7" i="28"/>
  <c r="I7" i="28" s="1"/>
  <c r="K7" i="28" s="1"/>
  <c r="H67" i="64"/>
  <c r="J67" i="64"/>
  <c r="K67" i="64"/>
  <c r="L67" i="64"/>
  <c r="M67" i="64" s="1"/>
  <c r="G10" i="28"/>
  <c r="H10" i="28"/>
  <c r="H14" i="64"/>
  <c r="J14" i="64"/>
  <c r="K14" i="64"/>
  <c r="L14" i="64" s="1"/>
  <c r="H63" i="64"/>
  <c r="J63" i="64"/>
  <c r="K63" i="64"/>
  <c r="L63" i="64" s="1"/>
  <c r="C10" i="28"/>
  <c r="E10" i="28" s="1"/>
  <c r="B10" i="28"/>
  <c r="L175" i="46"/>
  <c r="C9" i="28"/>
  <c r="E9" i="28" s="1"/>
  <c r="B9" i="28"/>
  <c r="G9" i="28"/>
  <c r="H9" i="28"/>
  <c r="C8" i="28"/>
  <c r="E8" i="28" s="1"/>
  <c r="B8" i="28"/>
  <c r="G8" i="28"/>
  <c r="I8" i="28" s="1"/>
  <c r="K8" i="28" s="1"/>
  <c r="H8" i="28"/>
  <c r="H4" i="28"/>
  <c r="I4" i="28" s="1"/>
  <c r="K4" i="28" s="1"/>
  <c r="H66" i="64"/>
  <c r="J66" i="64"/>
  <c r="K66" i="64"/>
  <c r="L66" i="64" s="1"/>
  <c r="H65" i="64"/>
  <c r="J65" i="64"/>
  <c r="K65" i="64"/>
  <c r="L65" i="64" s="1"/>
  <c r="M65" i="64" s="1"/>
  <c r="H64" i="64"/>
  <c r="J64" i="64"/>
  <c r="K64" i="64"/>
  <c r="L64" i="64"/>
  <c r="H62" i="64"/>
  <c r="J62" i="64"/>
  <c r="K62" i="64"/>
  <c r="L62" i="64"/>
  <c r="H61" i="64"/>
  <c r="J61" i="64"/>
  <c r="K61" i="64"/>
  <c r="L61" i="64"/>
  <c r="H60" i="64"/>
  <c r="J60" i="64"/>
  <c r="K60" i="64"/>
  <c r="L60" i="64"/>
  <c r="H59" i="64"/>
  <c r="J59" i="64"/>
  <c r="K59" i="64"/>
  <c r="L59" i="64" s="1"/>
  <c r="M59" i="64" s="1"/>
  <c r="H58" i="64"/>
  <c r="J58" i="64"/>
  <c r="K58" i="64"/>
  <c r="L58" i="64" s="1"/>
  <c r="H57" i="64"/>
  <c r="J57" i="64"/>
  <c r="N57" i="64" s="1"/>
  <c r="K57" i="64"/>
  <c r="L57" i="64" s="1"/>
  <c r="M57" i="64" s="1"/>
  <c r="H56" i="64"/>
  <c r="J56" i="64"/>
  <c r="K56" i="64"/>
  <c r="L56" i="64" s="1"/>
  <c r="H55" i="64"/>
  <c r="J55" i="64"/>
  <c r="K55" i="64"/>
  <c r="L55" i="64" s="1"/>
  <c r="H54" i="64"/>
  <c r="J54" i="64"/>
  <c r="K54" i="64"/>
  <c r="L54" i="64" s="1"/>
  <c r="M54" i="64" s="1"/>
  <c r="H53" i="64"/>
  <c r="J53" i="64"/>
  <c r="K53" i="64"/>
  <c r="L53" i="64" s="1"/>
  <c r="M53" i="64" s="1"/>
  <c r="H52" i="64"/>
  <c r="J52" i="64"/>
  <c r="K52" i="64"/>
  <c r="L52" i="64" s="1"/>
  <c r="H51" i="64"/>
  <c r="J51" i="64"/>
  <c r="K51" i="64"/>
  <c r="L51" i="64" s="1"/>
  <c r="H50" i="64"/>
  <c r="J50" i="64"/>
  <c r="K50" i="64"/>
  <c r="L50" i="64" s="1"/>
  <c r="H49" i="64"/>
  <c r="J49" i="64"/>
  <c r="K49" i="64"/>
  <c r="L49" i="64" s="1"/>
  <c r="H48" i="64"/>
  <c r="J48" i="64"/>
  <c r="K48" i="64"/>
  <c r="L48" i="64" s="1"/>
  <c r="M48" i="64" s="1"/>
  <c r="H47" i="64"/>
  <c r="J47" i="64"/>
  <c r="K47" i="64"/>
  <c r="L47" i="64" s="1"/>
  <c r="H46" i="64"/>
  <c r="J46" i="64"/>
  <c r="K46" i="64"/>
  <c r="L46" i="64" s="1"/>
  <c r="H45" i="64"/>
  <c r="J45" i="64"/>
  <c r="K45" i="64"/>
  <c r="L45" i="64" s="1"/>
  <c r="H44" i="64"/>
  <c r="N44" i="64" s="1"/>
  <c r="J44" i="64"/>
  <c r="K44" i="64"/>
  <c r="L44" i="64" s="1"/>
  <c r="M44" i="64" s="1"/>
  <c r="H43" i="64"/>
  <c r="J43" i="64"/>
  <c r="K43" i="64"/>
  <c r="L43" i="64" s="1"/>
  <c r="H42" i="64"/>
  <c r="J42" i="64"/>
  <c r="K42" i="64"/>
  <c r="L42" i="64" s="1"/>
  <c r="M42" i="64" s="1"/>
  <c r="H41" i="64"/>
  <c r="J41" i="64"/>
  <c r="K41" i="64"/>
  <c r="L41" i="64"/>
  <c r="M41" i="64" s="1"/>
  <c r="H40" i="64"/>
  <c r="J40" i="64"/>
  <c r="K40" i="64"/>
  <c r="L40" i="64" s="1"/>
  <c r="H39" i="64"/>
  <c r="J39" i="64"/>
  <c r="K39" i="64"/>
  <c r="L39" i="64" s="1"/>
  <c r="M39" i="64" s="1"/>
  <c r="H38" i="64"/>
  <c r="J38" i="64"/>
  <c r="K38" i="64"/>
  <c r="L38" i="64"/>
  <c r="M38" i="64" s="1"/>
  <c r="H37" i="64"/>
  <c r="J37" i="64"/>
  <c r="K37" i="64"/>
  <c r="L37" i="64" s="1"/>
  <c r="H36" i="64"/>
  <c r="J36" i="64"/>
  <c r="K36" i="64"/>
  <c r="L36" i="64" s="1"/>
  <c r="H35" i="64"/>
  <c r="J35" i="64"/>
  <c r="K35" i="64"/>
  <c r="L35" i="64" s="1"/>
  <c r="H34" i="64"/>
  <c r="J34" i="64"/>
  <c r="K34" i="64"/>
  <c r="L34" i="64" s="1"/>
  <c r="H33" i="64"/>
  <c r="J33" i="64"/>
  <c r="K33" i="64"/>
  <c r="L33" i="64" s="1"/>
  <c r="H32" i="64"/>
  <c r="J32" i="64"/>
  <c r="K32" i="64"/>
  <c r="L32" i="64" s="1"/>
  <c r="H31" i="64"/>
  <c r="J31" i="64"/>
  <c r="N31" i="64" s="1"/>
  <c r="K31" i="64"/>
  <c r="L31" i="64" s="1"/>
  <c r="H30" i="64"/>
  <c r="J30" i="64"/>
  <c r="K30" i="64"/>
  <c r="L30" i="64" s="1"/>
  <c r="H29" i="64"/>
  <c r="J29" i="64"/>
  <c r="K29" i="64"/>
  <c r="L29" i="64" s="1"/>
  <c r="H28" i="64"/>
  <c r="J28" i="64"/>
  <c r="K28" i="64"/>
  <c r="L28" i="64" s="1"/>
  <c r="M28" i="64" s="1"/>
  <c r="H27" i="64"/>
  <c r="J27" i="64"/>
  <c r="K27" i="64"/>
  <c r="L27" i="64" s="1"/>
  <c r="H26" i="64"/>
  <c r="J26" i="64"/>
  <c r="K26" i="64"/>
  <c r="L26" i="64" s="1"/>
  <c r="H25" i="64"/>
  <c r="J25" i="64"/>
  <c r="K25" i="64"/>
  <c r="L25" i="64" s="1"/>
  <c r="H24" i="64"/>
  <c r="J24" i="64"/>
  <c r="K24" i="64"/>
  <c r="L24" i="64" s="1"/>
  <c r="M24" i="64" s="1"/>
  <c r="H23" i="64"/>
  <c r="J23" i="64"/>
  <c r="K23" i="64"/>
  <c r="L23" i="64" s="1"/>
  <c r="H22" i="64"/>
  <c r="J22" i="64"/>
  <c r="K22" i="64"/>
  <c r="L22" i="64" s="1"/>
  <c r="H21" i="64"/>
  <c r="J21" i="64"/>
  <c r="K21" i="64"/>
  <c r="L21" i="64"/>
  <c r="M21" i="64" s="1"/>
  <c r="H20" i="64"/>
  <c r="J20" i="64"/>
  <c r="K20" i="64"/>
  <c r="L20" i="64" s="1"/>
  <c r="M20" i="64" s="1"/>
  <c r="H19" i="64"/>
  <c r="J19" i="64"/>
  <c r="K19" i="64"/>
  <c r="L19" i="64" s="1"/>
  <c r="M19" i="64" s="1"/>
  <c r="H18" i="64"/>
  <c r="J18" i="64"/>
  <c r="K18" i="64"/>
  <c r="L18" i="64" s="1"/>
  <c r="M18" i="64" s="1"/>
  <c r="H17" i="64"/>
  <c r="J17" i="64"/>
  <c r="K17" i="64"/>
  <c r="L17" i="64" s="1"/>
  <c r="H16" i="64"/>
  <c r="J16" i="64"/>
  <c r="K16" i="64"/>
  <c r="L16" i="64" s="1"/>
  <c r="H15" i="64"/>
  <c r="J15" i="64"/>
  <c r="K15" i="64"/>
  <c r="L15" i="64" s="1"/>
  <c r="H13" i="64"/>
  <c r="J13" i="64"/>
  <c r="K13" i="64"/>
  <c r="L13" i="64" s="1"/>
  <c r="M13" i="64" s="1"/>
  <c r="H12" i="64"/>
  <c r="J12" i="64"/>
  <c r="K12" i="64"/>
  <c r="L12" i="64"/>
  <c r="H11" i="64"/>
  <c r="J11" i="64"/>
  <c r="K11" i="64"/>
  <c r="L11" i="64" s="1"/>
  <c r="M11" i="64" s="1"/>
  <c r="H10" i="64"/>
  <c r="J10" i="64"/>
  <c r="K10" i="64"/>
  <c r="L10" i="64" s="1"/>
  <c r="H9" i="64"/>
  <c r="J9" i="64"/>
  <c r="K9" i="64"/>
  <c r="L9" i="64" s="1"/>
  <c r="H8" i="64"/>
  <c r="J8" i="64"/>
  <c r="K8" i="64"/>
  <c r="L8" i="64" s="1"/>
  <c r="H7" i="64"/>
  <c r="J7" i="64"/>
  <c r="K7" i="64"/>
  <c r="L7" i="64" s="1"/>
  <c r="M7" i="64" s="1"/>
  <c r="H6" i="64"/>
  <c r="J6" i="64"/>
  <c r="K6" i="64"/>
  <c r="L6" i="64" s="1"/>
  <c r="Q149" i="61"/>
  <c r="Q151" i="61"/>
  <c r="M149" i="61"/>
  <c r="O149" i="61" s="1"/>
  <c r="P148" i="61"/>
  <c r="Q148" i="61" s="1"/>
  <c r="S148" i="61" s="1"/>
  <c r="O148" i="61"/>
  <c r="P147" i="61"/>
  <c r="Q147" i="61" s="1"/>
  <c r="M147" i="61"/>
  <c r="O147" i="61"/>
  <c r="M146" i="61"/>
  <c r="O146" i="61" s="1"/>
  <c r="G146" i="61"/>
  <c r="P146" i="61" s="1"/>
  <c r="P145" i="61"/>
  <c r="Q145" i="61" s="1"/>
  <c r="O145" i="61"/>
  <c r="P144" i="61"/>
  <c r="Q144" i="61" s="1"/>
  <c r="M144" i="61"/>
  <c r="O144" i="61" s="1"/>
  <c r="P143" i="61"/>
  <c r="Q143" i="61" s="1"/>
  <c r="M143" i="61"/>
  <c r="O143" i="61" s="1"/>
  <c r="Q142" i="61"/>
  <c r="O142" i="61"/>
  <c r="Q141" i="61"/>
  <c r="O141" i="61"/>
  <c r="Q140" i="61"/>
  <c r="O140" i="61"/>
  <c r="Q139" i="61"/>
  <c r="O139" i="61"/>
  <c r="P138" i="61"/>
  <c r="Q138" i="61" s="1"/>
  <c r="S138" i="61" s="1"/>
  <c r="O138" i="61"/>
  <c r="Q137" i="61"/>
  <c r="O137" i="61"/>
  <c r="Q136" i="61"/>
  <c r="O136" i="61"/>
  <c r="Q135" i="61"/>
  <c r="O135" i="61"/>
  <c r="Q134" i="61"/>
  <c r="O134" i="61"/>
  <c r="Q133" i="61"/>
  <c r="O133" i="61"/>
  <c r="Q132" i="61"/>
  <c r="O132" i="61"/>
  <c r="Q131" i="61"/>
  <c r="O131" i="61"/>
  <c r="Q130" i="61"/>
  <c r="S130" i="61" s="1"/>
  <c r="O130" i="61"/>
  <c r="Q129" i="61"/>
  <c r="O129" i="61"/>
  <c r="Q128" i="61"/>
  <c r="O128" i="61"/>
  <c r="Q127" i="61"/>
  <c r="O127" i="61"/>
  <c r="Q126" i="61"/>
  <c r="S126" i="61" s="1"/>
  <c r="O126" i="61"/>
  <c r="Q125" i="61"/>
  <c r="O125" i="61"/>
  <c r="Q124" i="61"/>
  <c r="O124" i="61"/>
  <c r="Q123" i="61"/>
  <c r="S123" i="61" s="1"/>
  <c r="Q122" i="61"/>
  <c r="S122" i="61"/>
  <c r="O122" i="61"/>
  <c r="Q121" i="61"/>
  <c r="O121" i="61"/>
  <c r="S121" i="61"/>
  <c r="Q120" i="61"/>
  <c r="O120" i="61"/>
  <c r="Q119" i="61"/>
  <c r="S119" i="61" s="1"/>
  <c r="Q118" i="61"/>
  <c r="S118" i="61" s="1"/>
  <c r="O118" i="61"/>
  <c r="Q117" i="61"/>
  <c r="O117" i="61"/>
  <c r="Q116" i="61"/>
  <c r="O116" i="61"/>
  <c r="Q115" i="61"/>
  <c r="O115" i="61"/>
  <c r="Q114" i="61"/>
  <c r="O114" i="61"/>
  <c r="Q113" i="61"/>
  <c r="O113" i="61"/>
  <c r="Q112" i="61"/>
  <c r="O112" i="61"/>
  <c r="Q111" i="61"/>
  <c r="O111" i="61"/>
  <c r="Q110" i="61"/>
  <c r="O110" i="61"/>
  <c r="Q109" i="61"/>
  <c r="O109" i="61"/>
  <c r="Q108" i="61"/>
  <c r="O108" i="61"/>
  <c r="Q107" i="61"/>
  <c r="O107" i="61"/>
  <c r="Q106" i="61"/>
  <c r="O106" i="61"/>
  <c r="Q105" i="61"/>
  <c r="O105" i="61"/>
  <c r="Q104" i="61"/>
  <c r="O104" i="61"/>
  <c r="P103" i="61"/>
  <c r="Q103" i="61" s="1"/>
  <c r="O103" i="61"/>
  <c r="P102" i="61"/>
  <c r="Q102" i="61" s="1"/>
  <c r="O102" i="61"/>
  <c r="Q101" i="61"/>
  <c r="S101" i="61" s="1"/>
  <c r="Q100" i="61"/>
  <c r="O100" i="61"/>
  <c r="Q99" i="61"/>
  <c r="O99" i="61"/>
  <c r="Q98" i="61"/>
  <c r="O98" i="61"/>
  <c r="Q97" i="61"/>
  <c r="O97" i="61"/>
  <c r="S97" i="61" s="1"/>
  <c r="Q96" i="61"/>
  <c r="O96" i="61"/>
  <c r="Q95" i="61"/>
  <c r="O95" i="61"/>
  <c r="S95" i="61" s="1"/>
  <c r="Q94" i="61"/>
  <c r="O94" i="61"/>
  <c r="Q93" i="61"/>
  <c r="O93" i="61"/>
  <c r="S93" i="61" s="1"/>
  <c r="Q92" i="61"/>
  <c r="O92" i="61"/>
  <c r="S92" i="61" s="1"/>
  <c r="Q91" i="61"/>
  <c r="O91" i="61"/>
  <c r="S91" i="61" s="1"/>
  <c r="Q90" i="61"/>
  <c r="O90" i="61"/>
  <c r="S90" i="61" s="1"/>
  <c r="Q89" i="61"/>
  <c r="O89" i="61"/>
  <c r="S89" i="61" s="1"/>
  <c r="Q88" i="61"/>
  <c r="O88" i="61"/>
  <c r="P87" i="61"/>
  <c r="Q87" i="61"/>
  <c r="S87" i="61" s="1"/>
  <c r="O87" i="61"/>
  <c r="Q86" i="61"/>
  <c r="S86" i="61" s="1"/>
  <c r="Q85" i="61"/>
  <c r="O85" i="61"/>
  <c r="Q84" i="61"/>
  <c r="O84" i="61"/>
  <c r="Q83" i="61"/>
  <c r="S83" i="61" s="1"/>
  <c r="O83" i="61"/>
  <c r="Q82" i="61"/>
  <c r="S82" i="61" s="1"/>
  <c r="O82" i="61"/>
  <c r="Q81" i="61"/>
  <c r="O81" i="61"/>
  <c r="S81" i="61"/>
  <c r="P80" i="61"/>
  <c r="Q80" i="61" s="1"/>
  <c r="O80" i="61"/>
  <c r="Q79" i="61"/>
  <c r="O79" i="61"/>
  <c r="Q78" i="61"/>
  <c r="O78" i="61"/>
  <c r="S78" i="61" s="1"/>
  <c r="Q77" i="61"/>
  <c r="Q76" i="61"/>
  <c r="O76" i="61"/>
  <c r="P75" i="61"/>
  <c r="Q75" i="61" s="1"/>
  <c r="M75" i="61"/>
  <c r="O75" i="61" s="1"/>
  <c r="Q74" i="61"/>
  <c r="O74" i="61"/>
  <c r="Q73" i="61"/>
  <c r="O73" i="61"/>
  <c r="P72" i="61"/>
  <c r="Q72" i="61" s="1"/>
  <c r="O72" i="61"/>
  <c r="Q71" i="61"/>
  <c r="O71" i="61"/>
  <c r="Q70" i="61"/>
  <c r="O70" i="61"/>
  <c r="Q69" i="61"/>
  <c r="O69" i="61"/>
  <c r="Q68" i="61"/>
  <c r="O68" i="61"/>
  <c r="Q67" i="61"/>
  <c r="Q66" i="61"/>
  <c r="O66" i="61"/>
  <c r="Q65" i="61"/>
  <c r="O65" i="61"/>
  <c r="Q64" i="61"/>
  <c r="O64" i="61"/>
  <c r="Q63" i="61"/>
  <c r="O63" i="61"/>
  <c r="Q62" i="61"/>
  <c r="O62" i="61"/>
  <c r="P61" i="61"/>
  <c r="Q61" i="61" s="1"/>
  <c r="O61" i="61"/>
  <c r="S61" i="61" s="1"/>
  <c r="Q60" i="61"/>
  <c r="S60" i="61" s="1"/>
  <c r="Q59" i="61"/>
  <c r="S59" i="61" s="1"/>
  <c r="O59" i="61"/>
  <c r="P58" i="61"/>
  <c r="Q58" i="61" s="1"/>
  <c r="M58" i="61"/>
  <c r="O58" i="61" s="1"/>
  <c r="P57" i="61"/>
  <c r="Q57" i="61" s="1"/>
  <c r="P56" i="61"/>
  <c r="Q56" i="61" s="1"/>
  <c r="M56" i="61"/>
  <c r="O56" i="61"/>
  <c r="Q55" i="61"/>
  <c r="S55" i="61" s="1"/>
  <c r="Q54" i="61"/>
  <c r="O54" i="61"/>
  <c r="Q53" i="61"/>
  <c r="O53" i="61"/>
  <c r="P52" i="61"/>
  <c r="Q52" i="61" s="1"/>
  <c r="M52" i="61"/>
  <c r="O52" i="61" s="1"/>
  <c r="Q51" i="61"/>
  <c r="O51" i="61"/>
  <c r="Q50" i="61"/>
  <c r="O50" i="61"/>
  <c r="Q49" i="61"/>
  <c r="O49" i="61"/>
  <c r="Q48" i="61"/>
  <c r="O48" i="61"/>
  <c r="P47" i="61"/>
  <c r="Q47" i="61" s="1"/>
  <c r="M47" i="61"/>
  <c r="P46" i="61"/>
  <c r="Q46" i="61" s="1"/>
  <c r="S46" i="61" s="1"/>
  <c r="O46" i="61"/>
  <c r="Q45" i="61"/>
  <c r="O45" i="61"/>
  <c r="Q44" i="61"/>
  <c r="O44" i="61"/>
  <c r="P43" i="61"/>
  <c r="Q43" i="61" s="1"/>
  <c r="S43" i="61" s="1"/>
  <c r="O43" i="61"/>
  <c r="Q42" i="61"/>
  <c r="S42" i="61" s="1"/>
  <c r="O42" i="61"/>
  <c r="Q41" i="61"/>
  <c r="O41" i="61"/>
  <c r="P40" i="61"/>
  <c r="Q40" i="61" s="1"/>
  <c r="M40" i="61"/>
  <c r="O40" i="61"/>
  <c r="Q39" i="61"/>
  <c r="O39" i="61"/>
  <c r="Q38" i="61"/>
  <c r="O38" i="61"/>
  <c r="S38" i="61" s="1"/>
  <c r="Q37" i="61"/>
  <c r="S37" i="61" s="1"/>
  <c r="Q36" i="61"/>
  <c r="S36" i="61" s="1"/>
  <c r="O36" i="61"/>
  <c r="Q35" i="61"/>
  <c r="O35" i="61"/>
  <c r="Q34" i="61"/>
  <c r="O34" i="61"/>
  <c r="Q33" i="61"/>
  <c r="Q32" i="61"/>
  <c r="O32" i="61"/>
  <c r="Q31" i="61"/>
  <c r="O31" i="61"/>
  <c r="S31" i="61" s="1"/>
  <c r="P30" i="61"/>
  <c r="Q30" i="61" s="1"/>
  <c r="M30" i="61"/>
  <c r="O30" i="61" s="1"/>
  <c r="P29" i="61"/>
  <c r="Q29" i="61" s="1"/>
  <c r="O29" i="61"/>
  <c r="Q28" i="61"/>
  <c r="O28" i="61"/>
  <c r="P27" i="61"/>
  <c r="Q27" i="61" s="1"/>
  <c r="S27" i="61" s="1"/>
  <c r="P26" i="61"/>
  <c r="Q26" i="61" s="1"/>
  <c r="O26" i="61"/>
  <c r="P25" i="61"/>
  <c r="Q25" i="61" s="1"/>
  <c r="P24" i="61"/>
  <c r="Q24" i="61" s="1"/>
  <c r="O24" i="61"/>
  <c r="P23" i="61"/>
  <c r="Q23" i="61" s="1"/>
  <c r="S23" i="61" s="1"/>
  <c r="P22" i="61"/>
  <c r="Q22" i="61" s="1"/>
  <c r="Q21" i="61"/>
  <c r="O21" i="61"/>
  <c r="P20" i="61"/>
  <c r="Q20" i="61" s="1"/>
  <c r="O20" i="61"/>
  <c r="P19" i="61"/>
  <c r="Q19" i="61" s="1"/>
  <c r="O19" i="61"/>
  <c r="P18" i="61"/>
  <c r="Q18" i="61" s="1"/>
  <c r="O18" i="61"/>
  <c r="P17" i="61"/>
  <c r="Q17" i="61"/>
  <c r="S17" i="61" s="1"/>
  <c r="O17" i="61"/>
  <c r="Q16" i="61"/>
  <c r="P15" i="61"/>
  <c r="Q15" i="61" s="1"/>
  <c r="M15" i="61"/>
  <c r="P14" i="61"/>
  <c r="Q14" i="61" s="1"/>
  <c r="M14" i="61"/>
  <c r="O14" i="61" s="1"/>
  <c r="P13" i="61"/>
  <c r="Q13" i="61" s="1"/>
  <c r="P12" i="61"/>
  <c r="Q12" i="61" s="1"/>
  <c r="O12" i="61"/>
  <c r="P11" i="61"/>
  <c r="Q11" i="61" s="1"/>
  <c r="O11" i="61"/>
  <c r="P10" i="61"/>
  <c r="Q10" i="61" s="1"/>
  <c r="O10" i="61"/>
  <c r="P9" i="61"/>
  <c r="R9" i="36"/>
  <c r="Q9" i="27"/>
  <c r="Q10" i="27"/>
  <c r="Q11" i="27"/>
  <c r="Q12" i="27"/>
  <c r="Q13" i="27"/>
  <c r="O14" i="27"/>
  <c r="Q14" i="27" s="1"/>
  <c r="O15" i="27"/>
  <c r="Q15" i="27" s="1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O30" i="27"/>
  <c r="Q30" i="27" s="1"/>
  <c r="S30" i="27"/>
  <c r="Q31" i="27"/>
  <c r="Q32" i="27"/>
  <c r="Q33" i="27"/>
  <c r="Q34" i="27"/>
  <c r="S34" i="27"/>
  <c r="Q36" i="27"/>
  <c r="Q37" i="27"/>
  <c r="Q38" i="27"/>
  <c r="S38" i="27"/>
  <c r="Q39" i="27"/>
  <c r="O40" i="27"/>
  <c r="Q40" i="27" s="1"/>
  <c r="Q41" i="27"/>
  <c r="Q42" i="27"/>
  <c r="Q43" i="27"/>
  <c r="Q44" i="27"/>
  <c r="Q45" i="27"/>
  <c r="O47" i="27"/>
  <c r="Q48" i="27"/>
  <c r="S48" i="27"/>
  <c r="Q49" i="27"/>
  <c r="Q50" i="27"/>
  <c r="Q51" i="27"/>
  <c r="O52" i="27"/>
  <c r="Q53" i="27"/>
  <c r="Q54" i="27"/>
  <c r="O56" i="27"/>
  <c r="Q56" i="27" s="1"/>
  <c r="T56" i="27" s="1"/>
  <c r="O58" i="27"/>
  <c r="Q58" i="27" s="1"/>
  <c r="Q59" i="27"/>
  <c r="Q60" i="27"/>
  <c r="Q61" i="27"/>
  <c r="Q62" i="27"/>
  <c r="Q63" i="27"/>
  <c r="Q64" i="27"/>
  <c r="Q65" i="27"/>
  <c r="Q66" i="27"/>
  <c r="Q67" i="27"/>
  <c r="Q68" i="27"/>
  <c r="Q69" i="27"/>
  <c r="Q70" i="27"/>
  <c r="Q71" i="27"/>
  <c r="Q72" i="27"/>
  <c r="Q73" i="27"/>
  <c r="Q74" i="27"/>
  <c r="O75" i="27"/>
  <c r="Q75" i="27" s="1"/>
  <c r="Q76" i="27"/>
  <c r="Q78" i="27"/>
  <c r="Q79" i="27"/>
  <c r="Q80" i="27"/>
  <c r="S80" i="27"/>
  <c r="Q81" i="27"/>
  <c r="Q82" i="27"/>
  <c r="Q83" i="27"/>
  <c r="Q84" i="27"/>
  <c r="S84" i="27"/>
  <c r="Q85" i="27"/>
  <c r="Q86" i="27"/>
  <c r="Q87" i="27"/>
  <c r="Q88" i="27"/>
  <c r="S88" i="27"/>
  <c r="Q89" i="27"/>
  <c r="Q90" i="27"/>
  <c r="Q91" i="27"/>
  <c r="Q92" i="27"/>
  <c r="Q93" i="27"/>
  <c r="Q94" i="27"/>
  <c r="Q96" i="27"/>
  <c r="S96" i="27"/>
  <c r="Q98" i="27"/>
  <c r="Q99" i="27"/>
  <c r="Q100" i="27"/>
  <c r="Q102" i="27"/>
  <c r="Q103" i="27"/>
  <c r="Q104" i="27"/>
  <c r="S104" i="27"/>
  <c r="Q105" i="27"/>
  <c r="Q106" i="27"/>
  <c r="Q108" i="27"/>
  <c r="Q109" i="27"/>
  <c r="Q110" i="27"/>
  <c r="Q112" i="27"/>
  <c r="S112" i="27"/>
  <c r="Q114" i="27"/>
  <c r="Q115" i="27"/>
  <c r="Q116" i="27"/>
  <c r="S116" i="27"/>
  <c r="Q117" i="27"/>
  <c r="Q118" i="27"/>
  <c r="Q120" i="27"/>
  <c r="S120" i="27"/>
  <c r="Q122" i="27"/>
  <c r="Q123" i="27"/>
  <c r="Q124" i="27"/>
  <c r="Q125" i="27"/>
  <c r="Q126" i="27"/>
  <c r="Q127" i="27"/>
  <c r="Q128" i="27"/>
  <c r="S128" i="27"/>
  <c r="Q129" i="27"/>
  <c r="Q130" i="27"/>
  <c r="Q132" i="27"/>
  <c r="Q133" i="27"/>
  <c r="Q134" i="27"/>
  <c r="Q136" i="27"/>
  <c r="S136" i="27"/>
  <c r="Q138" i="27"/>
  <c r="Q139" i="27"/>
  <c r="Q140" i="27"/>
  <c r="Q141" i="27"/>
  <c r="Q142" i="27"/>
  <c r="O143" i="27"/>
  <c r="Q143" i="27" s="1"/>
  <c r="O144" i="27"/>
  <c r="S144" i="27"/>
  <c r="Q145" i="27"/>
  <c r="O146" i="27"/>
  <c r="Q146" i="27" s="1"/>
  <c r="O147" i="27"/>
  <c r="Q147" i="27" s="1"/>
  <c r="Q148" i="27"/>
  <c r="O149" i="27"/>
  <c r="Q149" i="27" s="1"/>
  <c r="T149" i="27" s="1"/>
  <c r="S149" i="27"/>
  <c r="S148" i="27"/>
  <c r="S147" i="27"/>
  <c r="S146" i="27"/>
  <c r="S145" i="27"/>
  <c r="S143" i="27"/>
  <c r="S142" i="27"/>
  <c r="S141" i="27"/>
  <c r="S140" i="27"/>
  <c r="S139" i="27"/>
  <c r="S138" i="27"/>
  <c r="S137" i="27"/>
  <c r="S135" i="27"/>
  <c r="T135" i="27" s="1"/>
  <c r="S134" i="27"/>
  <c r="S133" i="27"/>
  <c r="S132" i="27"/>
  <c r="T132" i="27" s="1"/>
  <c r="S131" i="27"/>
  <c r="S130" i="27"/>
  <c r="S129" i="27"/>
  <c r="S127" i="27"/>
  <c r="T127" i="27" s="1"/>
  <c r="S126" i="27"/>
  <c r="S125" i="27"/>
  <c r="S124" i="27"/>
  <c r="S123" i="27"/>
  <c r="T123" i="27" s="1"/>
  <c r="S122" i="27"/>
  <c r="S121" i="27"/>
  <c r="T121" i="27" s="1"/>
  <c r="S119" i="27"/>
  <c r="T119" i="27" s="1"/>
  <c r="S118" i="27"/>
  <c r="T118" i="27" s="1"/>
  <c r="S117" i="27"/>
  <c r="S115" i="27"/>
  <c r="T115" i="27" s="1"/>
  <c r="S114" i="27"/>
  <c r="S113" i="27"/>
  <c r="T113" i="27" s="1"/>
  <c r="S111" i="27"/>
  <c r="T111" i="27" s="1"/>
  <c r="S110" i="27"/>
  <c r="T110" i="27" s="1"/>
  <c r="S109" i="27"/>
  <c r="S108" i="27"/>
  <c r="T108" i="27" s="1"/>
  <c r="S107" i="27"/>
  <c r="S106" i="27"/>
  <c r="S105" i="27"/>
  <c r="T105" i="27" s="1"/>
  <c r="S103" i="27"/>
  <c r="S102" i="27"/>
  <c r="T102" i="27" s="1"/>
  <c r="S101" i="27"/>
  <c r="S100" i="27"/>
  <c r="S99" i="27"/>
  <c r="S98" i="27"/>
  <c r="S97" i="27"/>
  <c r="S95" i="27"/>
  <c r="S94" i="27"/>
  <c r="T94" i="27" s="1"/>
  <c r="S93" i="27"/>
  <c r="S92" i="27"/>
  <c r="T92" i="27" s="1"/>
  <c r="S91" i="27"/>
  <c r="S90" i="27"/>
  <c r="T90" i="27" s="1"/>
  <c r="S89" i="27"/>
  <c r="S87" i="27"/>
  <c r="S86" i="27"/>
  <c r="S85" i="27"/>
  <c r="S83" i="27"/>
  <c r="T83" i="27" s="1"/>
  <c r="S82" i="27"/>
  <c r="T82" i="27" s="1"/>
  <c r="S81" i="27"/>
  <c r="T81" i="27" s="1"/>
  <c r="S79" i="27"/>
  <c r="T79" i="27" s="1"/>
  <c r="S78" i="27"/>
  <c r="S77" i="27"/>
  <c r="S76" i="27"/>
  <c r="T76" i="27" s="1"/>
  <c r="S75" i="27"/>
  <c r="S74" i="27"/>
  <c r="S73" i="27"/>
  <c r="S72" i="27"/>
  <c r="T72" i="27" s="1"/>
  <c r="S71" i="27"/>
  <c r="S70" i="27"/>
  <c r="S69" i="27"/>
  <c r="S68" i="27"/>
  <c r="T68" i="27" s="1"/>
  <c r="S67" i="27"/>
  <c r="S66" i="27"/>
  <c r="T66" i="27" s="1"/>
  <c r="S65" i="27"/>
  <c r="S64" i="27"/>
  <c r="T64" i="27" s="1"/>
  <c r="S63" i="27"/>
  <c r="S62" i="27"/>
  <c r="T62" i="27" s="1"/>
  <c r="S61" i="27"/>
  <c r="S60" i="27"/>
  <c r="T60" i="27" s="1"/>
  <c r="S59" i="27"/>
  <c r="S58" i="27"/>
  <c r="S57" i="27"/>
  <c r="S56" i="27"/>
  <c r="S55" i="27"/>
  <c r="T55" i="27" s="1"/>
  <c r="S54" i="27"/>
  <c r="T54" i="27" s="1"/>
  <c r="S53" i="27"/>
  <c r="S52" i="27"/>
  <c r="S51" i="27"/>
  <c r="S50" i="27"/>
  <c r="T50" i="27" s="1"/>
  <c r="S49" i="27"/>
  <c r="T49" i="27" s="1"/>
  <c r="S47" i="27"/>
  <c r="S46" i="27"/>
  <c r="S45" i="27"/>
  <c r="T45" i="27" s="1"/>
  <c r="S44" i="27"/>
  <c r="T44" i="27" s="1"/>
  <c r="S43" i="27"/>
  <c r="T43" i="27" s="1"/>
  <c r="S42" i="27"/>
  <c r="T42" i="27" s="1"/>
  <c r="S41" i="27"/>
  <c r="S40" i="27"/>
  <c r="S39" i="27"/>
  <c r="T39" i="27" s="1"/>
  <c r="S37" i="27"/>
  <c r="T37" i="27" s="1"/>
  <c r="S36" i="27"/>
  <c r="S35" i="27"/>
  <c r="T35" i="27" s="1"/>
  <c r="S33" i="27"/>
  <c r="T33" i="27" s="1"/>
  <c r="S32" i="27"/>
  <c r="S31" i="27"/>
  <c r="S29" i="27"/>
  <c r="S28" i="27"/>
  <c r="S27" i="27"/>
  <c r="S26" i="27"/>
  <c r="T26" i="27" s="1"/>
  <c r="S25" i="27"/>
  <c r="S24" i="27"/>
  <c r="S23" i="27"/>
  <c r="T23" i="27" s="1"/>
  <c r="S22" i="27"/>
  <c r="T22" i="27" s="1"/>
  <c r="S21" i="27"/>
  <c r="S20" i="27"/>
  <c r="S19" i="27"/>
  <c r="S18" i="27"/>
  <c r="T18" i="27" s="1"/>
  <c r="S17" i="27"/>
  <c r="S16" i="27"/>
  <c r="S15" i="27"/>
  <c r="S14" i="27"/>
  <c r="T14" i="27"/>
  <c r="S13" i="27"/>
  <c r="S12" i="27"/>
  <c r="S11" i="27"/>
  <c r="T11" i="27" s="1"/>
  <c r="S10" i="27"/>
  <c r="T10" i="27" s="1"/>
  <c r="S9" i="27"/>
  <c r="S16" i="45"/>
  <c r="Q10" i="50"/>
  <c r="Q12" i="50"/>
  <c r="Q13" i="50"/>
  <c r="Q14" i="50"/>
  <c r="Q16" i="50"/>
  <c r="Q17" i="50"/>
  <c r="Q18" i="50"/>
  <c r="Q20" i="50"/>
  <c r="Q21" i="50"/>
  <c r="Q22" i="50"/>
  <c r="Q23" i="50"/>
  <c r="Q24" i="50"/>
  <c r="Q26" i="50"/>
  <c r="Q27" i="50"/>
  <c r="Q28" i="50"/>
  <c r="Q29" i="50"/>
  <c r="Q30" i="50"/>
  <c r="Q32" i="50"/>
  <c r="Q33" i="50"/>
  <c r="Q34" i="50"/>
  <c r="Q35" i="50"/>
  <c r="Q36" i="50"/>
  <c r="Q38" i="50"/>
  <c r="Q39" i="50"/>
  <c r="Q40" i="50"/>
  <c r="Q41" i="50"/>
  <c r="Q42" i="50"/>
  <c r="Q44" i="50"/>
  <c r="Q45" i="50"/>
  <c r="Q46" i="50"/>
  <c r="Q48" i="50"/>
  <c r="Q49" i="50"/>
  <c r="Q50" i="50"/>
  <c r="Q51" i="50"/>
  <c r="Q53" i="50"/>
  <c r="Q54" i="50"/>
  <c r="Q55" i="50"/>
  <c r="Q56" i="50"/>
  <c r="Q58" i="50"/>
  <c r="Q59" i="50"/>
  <c r="Q60" i="50"/>
  <c r="Q61" i="50"/>
  <c r="Q62" i="50"/>
  <c r="Q64" i="50"/>
  <c r="Q65" i="50"/>
  <c r="Q66" i="50"/>
  <c r="Q67" i="50"/>
  <c r="Q69" i="50"/>
  <c r="Q70" i="50"/>
  <c r="Q71" i="50"/>
  <c r="Q72" i="50"/>
  <c r="Q74" i="50"/>
  <c r="Q75" i="50"/>
  <c r="Q76" i="50"/>
  <c r="Q77" i="50"/>
  <c r="Q79" i="50"/>
  <c r="Q80" i="50"/>
  <c r="Q81" i="50"/>
  <c r="Q82" i="50"/>
  <c r="Q83" i="50"/>
  <c r="Q85" i="50"/>
  <c r="Q86" i="50"/>
  <c r="Q87" i="50"/>
  <c r="Q88" i="50"/>
  <c r="Q89" i="50"/>
  <c r="Q91" i="50"/>
  <c r="Q92" i="50"/>
  <c r="Q93" i="50"/>
  <c r="Q94" i="50"/>
  <c r="Q96" i="50"/>
  <c r="Q97" i="50"/>
  <c r="Q98" i="50"/>
  <c r="Q99" i="50"/>
  <c r="Q100" i="50"/>
  <c r="Q101" i="50"/>
  <c r="R101" i="50"/>
  <c r="O101" i="50"/>
  <c r="Q103" i="50"/>
  <c r="Q104" i="50"/>
  <c r="Q105" i="50"/>
  <c r="Q106" i="50"/>
  <c r="Q108" i="50"/>
  <c r="Q109" i="50"/>
  <c r="Q110" i="50"/>
  <c r="Q111" i="50"/>
  <c r="Q113" i="50"/>
  <c r="Q114" i="50"/>
  <c r="Q115" i="50"/>
  <c r="Q116" i="50"/>
  <c r="Q117" i="50"/>
  <c r="Q119" i="50"/>
  <c r="Q120" i="50"/>
  <c r="Q121" i="50"/>
  <c r="Q122" i="50"/>
  <c r="Q123" i="50"/>
  <c r="S123" i="50" s="1"/>
  <c r="Q125" i="50"/>
  <c r="Q9" i="50"/>
  <c r="N9" i="1"/>
  <c r="O9" i="1"/>
  <c r="P9" i="1" s="1"/>
  <c r="N10" i="1"/>
  <c r="O10" i="1"/>
  <c r="P10" i="1" s="1"/>
  <c r="N11" i="1"/>
  <c r="O11" i="1"/>
  <c r="P11" i="1" s="1"/>
  <c r="N12" i="1"/>
  <c r="O12" i="1"/>
  <c r="P12" i="1" s="1"/>
  <c r="L13" i="1"/>
  <c r="N13" i="1" s="1"/>
  <c r="O13" i="1"/>
  <c r="P13" i="1" s="1"/>
  <c r="L14" i="1"/>
  <c r="N14" i="1" s="1"/>
  <c r="O14" i="1"/>
  <c r="P14" i="1"/>
  <c r="N15" i="1"/>
  <c r="O15" i="1"/>
  <c r="P15" i="1" s="1"/>
  <c r="N16" i="1"/>
  <c r="O16" i="1"/>
  <c r="P16" i="1" s="1"/>
  <c r="Q16" i="1" s="1"/>
  <c r="N17" i="1"/>
  <c r="O17" i="1"/>
  <c r="P17" i="1" s="1"/>
  <c r="L18" i="1"/>
  <c r="N18" i="1"/>
  <c r="O18" i="1"/>
  <c r="P18" i="1" s="1"/>
  <c r="L19" i="1"/>
  <c r="N19" i="1" s="1"/>
  <c r="O19" i="1"/>
  <c r="P19" i="1" s="1"/>
  <c r="L20" i="1"/>
  <c r="N20" i="1" s="1"/>
  <c r="O20" i="1"/>
  <c r="P20" i="1" s="1"/>
  <c r="N21" i="1"/>
  <c r="Q21" i="1" s="1"/>
  <c r="L22" i="1"/>
  <c r="N22" i="1" s="1"/>
  <c r="O22" i="1"/>
  <c r="P22" i="1" s="1"/>
  <c r="N23" i="1"/>
  <c r="O23" i="1"/>
  <c r="P23" i="1" s="1"/>
  <c r="L24" i="1"/>
  <c r="N24" i="1" s="1"/>
  <c r="O24" i="1"/>
  <c r="P24" i="1" s="1"/>
  <c r="Q24" i="1" s="1"/>
  <c r="N25" i="1"/>
  <c r="Q25" i="1" s="1"/>
  <c r="L26" i="1"/>
  <c r="N26" i="1" s="1"/>
  <c r="O26" i="1"/>
  <c r="P26" i="1" s="1"/>
  <c r="N27" i="1"/>
  <c r="Q27" i="1" s="1"/>
  <c r="L28" i="1"/>
  <c r="N28" i="1" s="1"/>
  <c r="O28" i="1"/>
  <c r="P28" i="1" s="1"/>
  <c r="N29" i="1"/>
  <c r="Q29" i="1" s="1"/>
  <c r="L30" i="1"/>
  <c r="N30" i="1" s="1"/>
  <c r="O30" i="1"/>
  <c r="P30" i="1" s="1"/>
  <c r="N31" i="1"/>
  <c r="Q31" i="1" s="1"/>
  <c r="N32" i="1"/>
  <c r="O32" i="1"/>
  <c r="P32" i="1" s="1"/>
  <c r="L33" i="1"/>
  <c r="N33" i="1"/>
  <c r="O33" i="1"/>
  <c r="P33" i="1" s="1"/>
  <c r="N34" i="1"/>
  <c r="Q34" i="1" s="1"/>
  <c r="L35" i="1"/>
  <c r="N35" i="1" s="1"/>
  <c r="O35" i="1"/>
  <c r="P35" i="1" s="1"/>
  <c r="N36" i="1"/>
  <c r="Q36" i="1" s="1"/>
  <c r="N37" i="1"/>
  <c r="O37" i="1"/>
  <c r="P37" i="1" s="1"/>
  <c r="N38" i="1"/>
  <c r="O38" i="1"/>
  <c r="P38" i="1" s="1"/>
  <c r="L39" i="1"/>
  <c r="N39" i="1" s="1"/>
  <c r="O39" i="1"/>
  <c r="P39" i="1" s="1"/>
  <c r="N40" i="1"/>
  <c r="Q40" i="1" s="1"/>
  <c r="L41" i="1"/>
  <c r="O41" i="1"/>
  <c r="P41" i="1" s="1"/>
  <c r="N42" i="1"/>
  <c r="Q42" i="1" s="1"/>
  <c r="L43" i="1"/>
  <c r="N43" i="1" s="1"/>
  <c r="O43" i="1"/>
  <c r="P43" i="1" s="1"/>
  <c r="N44" i="1"/>
  <c r="Q44" i="1" s="1"/>
  <c r="N45" i="1"/>
  <c r="O45" i="1"/>
  <c r="P45" i="1"/>
  <c r="L46" i="1"/>
  <c r="N46" i="1" s="1"/>
  <c r="O46" i="1"/>
  <c r="P46" i="1"/>
  <c r="L47" i="1"/>
  <c r="N47" i="1" s="1"/>
  <c r="O47" i="1"/>
  <c r="P47" i="1" s="1"/>
  <c r="N48" i="1"/>
  <c r="O48" i="1"/>
  <c r="P48" i="1" s="1"/>
  <c r="O49" i="1"/>
  <c r="P49" i="1" s="1"/>
  <c r="N50" i="1"/>
  <c r="O50" i="1"/>
  <c r="P50" i="1" s="1"/>
  <c r="N51" i="1"/>
  <c r="O51" i="1"/>
  <c r="P51" i="1" s="1"/>
  <c r="L52" i="1"/>
  <c r="N52" i="1" s="1"/>
  <c r="O52" i="1"/>
  <c r="P52" i="1" s="1"/>
  <c r="N53" i="1"/>
  <c r="Q53" i="1" s="1"/>
  <c r="L54" i="1"/>
  <c r="N54" i="1" s="1"/>
  <c r="O54" i="1"/>
  <c r="P54" i="1"/>
  <c r="N55" i="1"/>
  <c r="Q55" i="1" s="1"/>
  <c r="L56" i="1"/>
  <c r="N56" i="1" s="1"/>
  <c r="O56" i="1"/>
  <c r="P56" i="1" s="1"/>
  <c r="N57" i="1"/>
  <c r="Q57" i="1" s="1"/>
  <c r="N58" i="1"/>
  <c r="O58" i="1"/>
  <c r="P58" i="1" s="1"/>
  <c r="N59" i="1"/>
  <c r="O59" i="1"/>
  <c r="P59" i="1" s="1"/>
  <c r="L60" i="1"/>
  <c r="N60" i="1" s="1"/>
  <c r="O60" i="1"/>
  <c r="P60" i="1" s="1"/>
  <c r="N61" i="1"/>
  <c r="Q61" i="1" s="1"/>
  <c r="N62" i="1"/>
  <c r="O62" i="1"/>
  <c r="P62" i="1" s="1"/>
  <c r="N63" i="1"/>
  <c r="O63" i="1"/>
  <c r="P63" i="1" s="1"/>
  <c r="L64" i="1"/>
  <c r="N64" i="1" s="1"/>
  <c r="O64" i="1"/>
  <c r="P64" i="1" s="1"/>
  <c r="N65" i="1"/>
  <c r="Q65" i="1" s="1"/>
  <c r="O66" i="1"/>
  <c r="P66" i="1" s="1"/>
  <c r="L67" i="1"/>
  <c r="N67" i="1" s="1"/>
  <c r="O67" i="1"/>
  <c r="P67" i="1" s="1"/>
  <c r="N68" i="1"/>
  <c r="Q68" i="1" s="1"/>
  <c r="L69" i="1"/>
  <c r="N69" i="1" s="1"/>
  <c r="O69" i="1"/>
  <c r="P69" i="1" s="1"/>
  <c r="N70" i="1"/>
  <c r="Q70" i="1" s="1"/>
  <c r="N71" i="1"/>
  <c r="O71" i="1"/>
  <c r="P71" i="1" s="1"/>
  <c r="L72" i="1"/>
  <c r="N72" i="1" s="1"/>
  <c r="O72" i="1"/>
  <c r="P72" i="1" s="1"/>
  <c r="N73" i="1"/>
  <c r="Q73" i="1" s="1"/>
  <c r="L74" i="1"/>
  <c r="N74" i="1" s="1"/>
  <c r="O74" i="1"/>
  <c r="P74" i="1" s="1"/>
  <c r="N75" i="1"/>
  <c r="Q75" i="1" s="1"/>
  <c r="N76" i="1"/>
  <c r="O76" i="1"/>
  <c r="P76" i="1" s="1"/>
  <c r="N77" i="1"/>
  <c r="Q77" i="1" s="1"/>
  <c r="O77" i="1"/>
  <c r="P77" i="1" s="1"/>
  <c r="L78" i="1"/>
  <c r="N78" i="1" s="1"/>
  <c r="O78" i="1"/>
  <c r="P78" i="1" s="1"/>
  <c r="N79" i="1"/>
  <c r="Q79" i="1" s="1"/>
  <c r="L80" i="1"/>
  <c r="N80" i="1" s="1"/>
  <c r="O80" i="1"/>
  <c r="P80" i="1" s="1"/>
  <c r="N81" i="1"/>
  <c r="Q81" i="1" s="1"/>
  <c r="L82" i="1"/>
  <c r="N82" i="1" s="1"/>
  <c r="Q82" i="1" s="1"/>
  <c r="O82" i="1"/>
  <c r="P82" i="1" s="1"/>
  <c r="N83" i="1"/>
  <c r="Q83" i="1" s="1"/>
  <c r="N84" i="1"/>
  <c r="O84" i="1"/>
  <c r="P84" i="1" s="1"/>
  <c r="L85" i="1"/>
  <c r="N85" i="1" s="1"/>
  <c r="O85" i="1"/>
  <c r="P85" i="1" s="1"/>
  <c r="N86" i="1"/>
  <c r="Q86" i="1" s="1"/>
  <c r="N87" i="1"/>
  <c r="O87" i="1"/>
  <c r="P87" i="1" s="1"/>
  <c r="N88" i="1"/>
  <c r="O88" i="1"/>
  <c r="P88" i="1" s="1"/>
  <c r="N89" i="1"/>
  <c r="O89" i="1"/>
  <c r="P89" i="1"/>
  <c r="O90" i="1"/>
  <c r="P90" i="1" s="1"/>
  <c r="L91" i="1"/>
  <c r="N91" i="1" s="1"/>
  <c r="Q91" i="1" s="1"/>
  <c r="O91" i="1"/>
  <c r="P91" i="1" s="1"/>
  <c r="N92" i="1"/>
  <c r="Q92" i="1" s="1"/>
  <c r="L93" i="1"/>
  <c r="N93" i="1" s="1"/>
  <c r="O93" i="1"/>
  <c r="P93" i="1" s="1"/>
  <c r="N94" i="1"/>
  <c r="Q94" i="1" s="1"/>
  <c r="L95" i="1"/>
  <c r="N95" i="1" s="1"/>
  <c r="O95" i="1"/>
  <c r="P95" i="1" s="1"/>
  <c r="N96" i="1"/>
  <c r="Q96" i="1" s="1"/>
  <c r="N97" i="1"/>
  <c r="O97" i="1"/>
  <c r="P97" i="1" s="1"/>
  <c r="N98" i="1"/>
  <c r="O98" i="1"/>
  <c r="P98" i="1" s="1"/>
  <c r="Q98" i="1" s="1"/>
  <c r="N99" i="1"/>
  <c r="O99" i="1"/>
  <c r="P99" i="1" s="1"/>
  <c r="L100" i="1"/>
  <c r="O100" i="1"/>
  <c r="P100" i="1"/>
  <c r="N101" i="1"/>
  <c r="Q101" i="1" s="1"/>
  <c r="L102" i="1"/>
  <c r="N102" i="1"/>
  <c r="O102" i="1"/>
  <c r="P102" i="1" s="1"/>
  <c r="N103" i="1"/>
  <c r="Q103" i="1" s="1"/>
  <c r="L104" i="1"/>
  <c r="N104" i="1" s="1"/>
  <c r="O104" i="1"/>
  <c r="P104" i="1" s="1"/>
  <c r="N105" i="1"/>
  <c r="Q105" i="1" s="1"/>
  <c r="O106" i="1"/>
  <c r="P106" i="1"/>
  <c r="L107" i="1"/>
  <c r="N107" i="1" s="1"/>
  <c r="O107" i="1"/>
  <c r="P107" i="1"/>
  <c r="N108" i="1"/>
  <c r="Q108" i="1" s="1"/>
  <c r="N109" i="1"/>
  <c r="O109" i="1"/>
  <c r="P109" i="1" s="1"/>
  <c r="N110" i="1"/>
  <c r="O110" i="1"/>
  <c r="P110" i="1" s="1"/>
  <c r="Q110" i="1" s="1"/>
  <c r="L111" i="1"/>
  <c r="N111" i="1" s="1"/>
  <c r="O111" i="1"/>
  <c r="P111" i="1" s="1"/>
  <c r="N112" i="1"/>
  <c r="Q112" i="1" s="1"/>
  <c r="N113" i="1"/>
  <c r="O113" i="1"/>
  <c r="P113" i="1" s="1"/>
  <c r="L114" i="1"/>
  <c r="N114" i="1" s="1"/>
  <c r="O114" i="1"/>
  <c r="P114" i="1" s="1"/>
  <c r="N115" i="1"/>
  <c r="Q115" i="1" s="1"/>
  <c r="L116" i="1"/>
  <c r="N116" i="1" s="1"/>
  <c r="O116" i="1"/>
  <c r="P116" i="1" s="1"/>
  <c r="N117" i="1"/>
  <c r="Q117" i="1" s="1"/>
  <c r="L118" i="1"/>
  <c r="N118" i="1" s="1"/>
  <c r="O118" i="1"/>
  <c r="P118" i="1" s="1"/>
  <c r="N119" i="1"/>
  <c r="Q119" i="1" s="1"/>
  <c r="N120" i="1"/>
  <c r="O120" i="1"/>
  <c r="P120" i="1" s="1"/>
  <c r="Q120" i="1" s="1"/>
  <c r="N121" i="1"/>
  <c r="O121" i="1"/>
  <c r="P121" i="1" s="1"/>
  <c r="L122" i="1"/>
  <c r="N122" i="1"/>
  <c r="O122" i="1"/>
  <c r="P122" i="1" s="1"/>
  <c r="N123" i="1"/>
  <c r="Q123" i="1"/>
  <c r="L124" i="1"/>
  <c r="N124" i="1" s="1"/>
  <c r="O124" i="1"/>
  <c r="P124" i="1" s="1"/>
  <c r="N125" i="1"/>
  <c r="Q125" i="1" s="1"/>
  <c r="N126" i="1"/>
  <c r="Q126" i="1" s="1"/>
  <c r="O126" i="1"/>
  <c r="P126" i="1" s="1"/>
  <c r="L127" i="1"/>
  <c r="O127" i="1"/>
  <c r="P127" i="1" s="1"/>
  <c r="N128" i="1"/>
  <c r="Q128" i="1" s="1"/>
  <c r="L129" i="1"/>
  <c r="N129" i="1" s="1"/>
  <c r="O129" i="1"/>
  <c r="P129" i="1" s="1"/>
  <c r="N130" i="1"/>
  <c r="Q130" i="1" s="1"/>
  <c r="L131" i="1"/>
  <c r="N131" i="1" s="1"/>
  <c r="O131" i="1"/>
  <c r="P131" i="1" s="1"/>
  <c r="N132" i="1"/>
  <c r="Q132" i="1" s="1"/>
  <c r="L133" i="1"/>
  <c r="N133" i="1" s="1"/>
  <c r="O133" i="1"/>
  <c r="P133" i="1" s="1"/>
  <c r="N134" i="1"/>
  <c r="Q134" i="1" s="1"/>
  <c r="L135" i="1"/>
  <c r="N135" i="1" s="1"/>
  <c r="O135" i="1"/>
  <c r="P135" i="1" s="1"/>
  <c r="N136" i="1"/>
  <c r="Q136" i="1" s="1"/>
  <c r="N137" i="1"/>
  <c r="O137" i="1"/>
  <c r="P137" i="1"/>
  <c r="L138" i="1"/>
  <c r="N138" i="1" s="1"/>
  <c r="Q138" i="1" s="1"/>
  <c r="O138" i="1"/>
  <c r="P138" i="1" s="1"/>
  <c r="N139" i="1"/>
  <c r="Q139" i="1" s="1"/>
  <c r="N140" i="1"/>
  <c r="O140" i="1"/>
  <c r="P140" i="1" s="1"/>
  <c r="Q140" i="1" s="1"/>
  <c r="N141" i="1"/>
  <c r="O141" i="1"/>
  <c r="P141" i="1" s="1"/>
  <c r="L142" i="1"/>
  <c r="O142" i="1"/>
  <c r="P142" i="1" s="1"/>
  <c r="N143" i="1"/>
  <c r="Q143" i="1" s="1"/>
  <c r="L144" i="1"/>
  <c r="N144" i="1" s="1"/>
  <c r="O144" i="1"/>
  <c r="P144" i="1" s="1"/>
  <c r="N145" i="1"/>
  <c r="Q145" i="1" s="1"/>
  <c r="L146" i="1"/>
  <c r="N146" i="1" s="1"/>
  <c r="O146" i="1"/>
  <c r="P146" i="1" s="1"/>
  <c r="N147" i="1"/>
  <c r="Q147" i="1" s="1"/>
  <c r="N148" i="1"/>
  <c r="O148" i="1"/>
  <c r="P148" i="1" s="1"/>
  <c r="L149" i="1"/>
  <c r="N149" i="1" s="1"/>
  <c r="O149" i="1"/>
  <c r="P149" i="1" s="1"/>
  <c r="N150" i="1"/>
  <c r="Q150" i="1" s="1"/>
  <c r="N151" i="1"/>
  <c r="O151" i="1"/>
  <c r="P151" i="1" s="1"/>
  <c r="Q151" i="1" s="1"/>
  <c r="N152" i="1"/>
  <c r="O152" i="1"/>
  <c r="P152" i="1" s="1"/>
  <c r="L153" i="1"/>
  <c r="N153" i="1"/>
  <c r="Q153" i="1" s="1"/>
  <c r="O153" i="1"/>
  <c r="P153" i="1" s="1"/>
  <c r="N154" i="1"/>
  <c r="Q154" i="1" s="1"/>
  <c r="N155" i="1"/>
  <c r="O155" i="1"/>
  <c r="P155" i="1" s="1"/>
  <c r="L156" i="1"/>
  <c r="N156" i="1" s="1"/>
  <c r="O156" i="1"/>
  <c r="P156" i="1" s="1"/>
  <c r="N157" i="1"/>
  <c r="Q157" i="1" s="1"/>
  <c r="L158" i="1"/>
  <c r="N158" i="1" s="1"/>
  <c r="O158" i="1"/>
  <c r="P158" i="1" s="1"/>
  <c r="N159" i="1"/>
  <c r="Q159" i="1" s="1"/>
  <c r="L160" i="1"/>
  <c r="N160" i="1" s="1"/>
  <c r="O160" i="1"/>
  <c r="P160" i="1" s="1"/>
  <c r="N161" i="1"/>
  <c r="Q161" i="1" s="1"/>
  <c r="N162" i="1"/>
  <c r="O162" i="1"/>
  <c r="P162" i="1" s="1"/>
  <c r="N163" i="1"/>
  <c r="O163" i="1"/>
  <c r="P163" i="1" s="1"/>
  <c r="L164" i="1"/>
  <c r="N164" i="1" s="1"/>
  <c r="O164" i="1"/>
  <c r="P164" i="1"/>
  <c r="N165" i="1"/>
  <c r="Q165" i="1" s="1"/>
  <c r="N166" i="1"/>
  <c r="O166" i="1"/>
  <c r="P166" i="1" s="1"/>
  <c r="Q166" i="1" s="1"/>
  <c r="L167" i="1"/>
  <c r="N167" i="1" s="1"/>
  <c r="O167" i="1"/>
  <c r="P167" i="1" s="1"/>
  <c r="N168" i="1"/>
  <c r="Q168" i="1" s="1"/>
  <c r="N169" i="1"/>
  <c r="O169" i="1"/>
  <c r="P169" i="1" s="1"/>
  <c r="L170" i="1"/>
  <c r="N170" i="1" s="1"/>
  <c r="O170" i="1"/>
  <c r="P170" i="1"/>
  <c r="N171" i="1"/>
  <c r="Q171" i="1" s="1"/>
  <c r="L172" i="1"/>
  <c r="N172" i="1" s="1"/>
  <c r="O172" i="1"/>
  <c r="P172" i="1" s="1"/>
  <c r="N173" i="1"/>
  <c r="Q173" i="1" s="1"/>
  <c r="N174" i="1"/>
  <c r="O174" i="1"/>
  <c r="P174" i="1" s="1"/>
  <c r="Q175" i="1"/>
  <c r="L176" i="1"/>
  <c r="N176" i="1" s="1"/>
  <c r="Q176" i="1" s="1"/>
  <c r="L108" i="45"/>
  <c r="N108" i="45" s="1"/>
  <c r="L106" i="45"/>
  <c r="N106" i="45" s="1"/>
  <c r="L13" i="45"/>
  <c r="N13" i="45" s="1"/>
  <c r="Q13" i="45" s="1"/>
  <c r="L17" i="45"/>
  <c r="N17" i="45" s="1"/>
  <c r="L23" i="45"/>
  <c r="L25" i="45"/>
  <c r="N25" i="45" s="1"/>
  <c r="L26" i="45"/>
  <c r="N26" i="45" s="1"/>
  <c r="Q26" i="45" s="1"/>
  <c r="L30" i="45"/>
  <c r="N30" i="45" s="1"/>
  <c r="Q30" i="45" s="1"/>
  <c r="L33" i="45"/>
  <c r="N33" i="45" s="1"/>
  <c r="L35" i="45"/>
  <c r="N35" i="45" s="1"/>
  <c r="Q35" i="45" s="1"/>
  <c r="L39" i="45"/>
  <c r="N39" i="45" s="1"/>
  <c r="Q39" i="45" s="1"/>
  <c r="L41" i="45"/>
  <c r="N41" i="45" s="1"/>
  <c r="L43" i="45"/>
  <c r="N43" i="45" s="1"/>
  <c r="L45" i="45"/>
  <c r="N45" i="45" s="1"/>
  <c r="L47" i="45"/>
  <c r="N47" i="45" s="1"/>
  <c r="Q47" i="45" s="1"/>
  <c r="L51" i="45"/>
  <c r="L55" i="45"/>
  <c r="N55" i="45" s="1"/>
  <c r="L60" i="45"/>
  <c r="N60" i="45" s="1"/>
  <c r="L64" i="45"/>
  <c r="N64" i="45" s="1"/>
  <c r="Q64" i="45" s="1"/>
  <c r="L67" i="45"/>
  <c r="N67" i="45" s="1"/>
  <c r="Q67" i="45" s="1"/>
  <c r="L70" i="45"/>
  <c r="N70" i="45" s="1"/>
  <c r="Q70" i="45" s="1"/>
  <c r="L73" i="45"/>
  <c r="L76" i="45"/>
  <c r="N76" i="45" s="1"/>
  <c r="Q76" i="45" s="1"/>
  <c r="L79" i="45"/>
  <c r="N79" i="45" s="1"/>
  <c r="L82" i="45"/>
  <c r="N82" i="45"/>
  <c r="L85" i="45"/>
  <c r="N85" i="45" s="1"/>
  <c r="Q85" i="45" s="1"/>
  <c r="L88" i="45"/>
  <c r="N88" i="45" s="1"/>
  <c r="Q88" i="45" s="1"/>
  <c r="L91" i="45"/>
  <c r="N91" i="45" s="1"/>
  <c r="L94" i="45"/>
  <c r="N94" i="45" s="1"/>
  <c r="L97" i="45"/>
  <c r="N97" i="45" s="1"/>
  <c r="Q97" i="45" s="1"/>
  <c r="L100" i="45"/>
  <c r="N100" i="45" s="1"/>
  <c r="L103" i="45"/>
  <c r="N103" i="45" s="1"/>
  <c r="P100" i="45"/>
  <c r="P97" i="45"/>
  <c r="P94" i="45"/>
  <c r="P88" i="45"/>
  <c r="P79" i="45"/>
  <c r="P67" i="45"/>
  <c r="P64" i="45"/>
  <c r="P55" i="45"/>
  <c r="N51" i="45"/>
  <c r="Q51" i="45" s="1"/>
  <c r="P33" i="45"/>
  <c r="P30" i="45"/>
  <c r="N23" i="45"/>
  <c r="P17" i="45"/>
  <c r="O18" i="50"/>
  <c r="R18" i="50"/>
  <c r="O44" i="50"/>
  <c r="M35" i="50"/>
  <c r="O35" i="50" s="1"/>
  <c r="S35" i="50" s="1"/>
  <c r="R35" i="50"/>
  <c r="M39" i="50"/>
  <c r="O39" i="50" s="1"/>
  <c r="M41" i="50"/>
  <c r="O41" i="50" s="1"/>
  <c r="S41" i="50" s="1"/>
  <c r="M50" i="50"/>
  <c r="O50" i="50" s="1"/>
  <c r="M54" i="50"/>
  <c r="O54" i="50" s="1"/>
  <c r="R54" i="50"/>
  <c r="M59" i="50"/>
  <c r="O59" i="50" s="1"/>
  <c r="R59" i="50"/>
  <c r="M62" i="50"/>
  <c r="O62" i="50" s="1"/>
  <c r="M66" i="50"/>
  <c r="O66" i="50" s="1"/>
  <c r="M73" i="50"/>
  <c r="O73" i="50" s="1"/>
  <c r="M75" i="50"/>
  <c r="O75" i="50" s="1"/>
  <c r="M80" i="50"/>
  <c r="O80" i="50" s="1"/>
  <c r="M83" i="50"/>
  <c r="O83" i="50" s="1"/>
  <c r="M88" i="50"/>
  <c r="O88" i="50" s="1"/>
  <c r="R88" i="50"/>
  <c r="M90" i="50"/>
  <c r="M94" i="50"/>
  <c r="O94" i="50" s="1"/>
  <c r="M97" i="50"/>
  <c r="O97" i="50" s="1"/>
  <c r="M99" i="50"/>
  <c r="O99" i="50"/>
  <c r="R99" i="50"/>
  <c r="M102" i="50"/>
  <c r="O102" i="50" s="1"/>
  <c r="M106" i="50"/>
  <c r="O106" i="50" s="1"/>
  <c r="M109" i="50"/>
  <c r="O109" i="50" s="1"/>
  <c r="M114" i="50"/>
  <c r="O114" i="50" s="1"/>
  <c r="R114" i="50"/>
  <c r="M116" i="50"/>
  <c r="O116" i="50" s="1"/>
  <c r="M122" i="50"/>
  <c r="O122" i="50" s="1"/>
  <c r="M124" i="50"/>
  <c r="O124" i="50" s="1"/>
  <c r="M25" i="50"/>
  <c r="M33" i="50"/>
  <c r="O33" i="50" s="1"/>
  <c r="M30" i="50"/>
  <c r="O30" i="50" s="1"/>
  <c r="M28" i="50"/>
  <c r="O28" i="50" s="1"/>
  <c r="R21" i="50"/>
  <c r="S21" i="50" s="1"/>
  <c r="O21" i="50"/>
  <c r="R122" i="50"/>
  <c r="R116" i="50"/>
  <c r="R109" i="50"/>
  <c r="S109" i="50" s="1"/>
  <c r="R106" i="50"/>
  <c r="R97" i="50"/>
  <c r="R94" i="50"/>
  <c r="R83" i="50"/>
  <c r="R80" i="50"/>
  <c r="R75" i="50"/>
  <c r="R66" i="50"/>
  <c r="R62" i="50"/>
  <c r="R50" i="50"/>
  <c r="R41" i="50"/>
  <c r="R39" i="50"/>
  <c r="R33" i="50"/>
  <c r="R30" i="50"/>
  <c r="R28" i="50"/>
  <c r="L18" i="46"/>
  <c r="N18" i="46" s="1"/>
  <c r="L44" i="46"/>
  <c r="N44" i="46" s="1"/>
  <c r="L45" i="46"/>
  <c r="N45" i="46" s="1"/>
  <c r="N20" i="46"/>
  <c r="N35" i="46"/>
  <c r="Q35" i="46" s="1"/>
  <c r="L27" i="46"/>
  <c r="N27" i="46" s="1"/>
  <c r="L29" i="46"/>
  <c r="N29" i="46" s="1"/>
  <c r="L32" i="46"/>
  <c r="L34" i="46"/>
  <c r="N34" i="46" s="1"/>
  <c r="L38" i="46"/>
  <c r="N38" i="46" s="1"/>
  <c r="L40" i="46"/>
  <c r="L42" i="46"/>
  <c r="N42" i="46" s="1"/>
  <c r="L51" i="46"/>
  <c r="N51" i="46" s="1"/>
  <c r="L53" i="46"/>
  <c r="N53" i="46" s="1"/>
  <c r="L55" i="46"/>
  <c r="N55" i="46" s="1"/>
  <c r="L59" i="46"/>
  <c r="N59" i="46" s="1"/>
  <c r="L63" i="46"/>
  <c r="N63" i="46" s="1"/>
  <c r="L66" i="46"/>
  <c r="N66" i="46" s="1"/>
  <c r="L68" i="46"/>
  <c r="N68" i="46" s="1"/>
  <c r="L71" i="46"/>
  <c r="N71" i="46" s="1"/>
  <c r="L73" i="46"/>
  <c r="N73" i="46" s="1"/>
  <c r="L77" i="46"/>
  <c r="N77" i="46" s="1"/>
  <c r="L79" i="46"/>
  <c r="N79" i="46" s="1"/>
  <c r="L81" i="46"/>
  <c r="N81" i="46" s="1"/>
  <c r="L84" i="46"/>
  <c r="N84" i="46" s="1"/>
  <c r="L90" i="46"/>
  <c r="N90" i="46" s="1"/>
  <c r="L92" i="46"/>
  <c r="N92" i="46" s="1"/>
  <c r="L94" i="46"/>
  <c r="N94" i="46" s="1"/>
  <c r="L99" i="46"/>
  <c r="N99" i="46" s="1"/>
  <c r="L101" i="46"/>
  <c r="N101" i="46" s="1"/>
  <c r="L103" i="46"/>
  <c r="N103" i="46" s="1"/>
  <c r="L106" i="46"/>
  <c r="N106" i="46"/>
  <c r="L110" i="46"/>
  <c r="N110" i="46" s="1"/>
  <c r="L113" i="46"/>
  <c r="N113" i="46" s="1"/>
  <c r="L115" i="46"/>
  <c r="N115" i="46" s="1"/>
  <c r="L117" i="46"/>
  <c r="N117" i="46" s="1"/>
  <c r="L121" i="46"/>
  <c r="N121" i="46" s="1"/>
  <c r="L123" i="46"/>
  <c r="N123" i="46" s="1"/>
  <c r="L126" i="46"/>
  <c r="N126" i="46" s="1"/>
  <c r="L128" i="46"/>
  <c r="N128" i="46"/>
  <c r="L130" i="46"/>
  <c r="N130" i="46" s="1"/>
  <c r="L132" i="46"/>
  <c r="N132" i="46" s="1"/>
  <c r="L134" i="46"/>
  <c r="N134" i="46" s="1"/>
  <c r="L137" i="46"/>
  <c r="N137" i="46" s="1"/>
  <c r="L141" i="46"/>
  <c r="N141" i="46" s="1"/>
  <c r="L143" i="46"/>
  <c r="N143" i="46" s="1"/>
  <c r="L145" i="46"/>
  <c r="N145" i="46" s="1"/>
  <c r="L148" i="46"/>
  <c r="N148" i="46" s="1"/>
  <c r="L152" i="46"/>
  <c r="N152" i="46" s="1"/>
  <c r="L155" i="46"/>
  <c r="N155" i="46" s="1"/>
  <c r="L157" i="46"/>
  <c r="N157" i="46" s="1"/>
  <c r="L159" i="46"/>
  <c r="N159" i="46" s="1"/>
  <c r="L164" i="46"/>
  <c r="N164" i="46" s="1"/>
  <c r="L167" i="46"/>
  <c r="N167" i="46" s="1"/>
  <c r="L169" i="46"/>
  <c r="N169" i="46" s="1"/>
  <c r="L171" i="46"/>
  <c r="N171" i="46" s="1"/>
  <c r="L24" i="46"/>
  <c r="N122" i="36"/>
  <c r="N123" i="36"/>
  <c r="P123" i="36" s="1"/>
  <c r="S123" i="36" s="1"/>
  <c r="N32" i="36"/>
  <c r="N34" i="36"/>
  <c r="P34" i="36" s="1"/>
  <c r="N36" i="36"/>
  <c r="P36" i="36" s="1"/>
  <c r="S36" i="36" s="1"/>
  <c r="N39" i="36"/>
  <c r="P39" i="36" s="1"/>
  <c r="S39" i="36" s="1"/>
  <c r="N47" i="36"/>
  <c r="P47" i="36" s="1"/>
  <c r="S47" i="36" s="1"/>
  <c r="N51" i="36"/>
  <c r="N56" i="36"/>
  <c r="P56" i="36" s="1"/>
  <c r="S56" i="36" s="1"/>
  <c r="N59" i="36"/>
  <c r="P59" i="36" s="1"/>
  <c r="N61" i="36"/>
  <c r="P61" i="36" s="1"/>
  <c r="S61" i="36" s="1"/>
  <c r="N64" i="36"/>
  <c r="P64" i="36" s="1"/>
  <c r="S64" i="36" s="1"/>
  <c r="N66" i="36"/>
  <c r="N68" i="36"/>
  <c r="P68" i="36" s="1"/>
  <c r="N72" i="36"/>
  <c r="P72" i="36" s="1"/>
  <c r="S72" i="36" s="1"/>
  <c r="N78" i="36"/>
  <c r="N81" i="36"/>
  <c r="N84" i="36"/>
  <c r="P84" i="36" s="1"/>
  <c r="N88" i="36"/>
  <c r="P88" i="36" s="1"/>
  <c r="S88" i="36" s="1"/>
  <c r="N90" i="36"/>
  <c r="N92" i="36"/>
  <c r="N94" i="36"/>
  <c r="P94" i="36" s="1"/>
  <c r="S94" i="36" s="1"/>
  <c r="N97" i="36"/>
  <c r="N99" i="36"/>
  <c r="P99" i="36" s="1"/>
  <c r="N101" i="36"/>
  <c r="N103" i="36"/>
  <c r="P103" i="36" s="1"/>
  <c r="S103" i="36" s="1"/>
  <c r="N105" i="36"/>
  <c r="P105" i="36" s="1"/>
  <c r="S105" i="36" s="1"/>
  <c r="N107" i="36"/>
  <c r="P107" i="36" s="1"/>
  <c r="S107" i="36" s="1"/>
  <c r="N109" i="36"/>
  <c r="P109" i="36" s="1"/>
  <c r="S109" i="36" s="1"/>
  <c r="N111" i="36"/>
  <c r="P111" i="36" s="1"/>
  <c r="N113" i="36"/>
  <c r="N115" i="36"/>
  <c r="P115" i="36" s="1"/>
  <c r="S115" i="36" s="1"/>
  <c r="N117" i="36"/>
  <c r="P117" i="36" s="1"/>
  <c r="S117" i="36" s="1"/>
  <c r="N121" i="36"/>
  <c r="P121" i="36" s="1"/>
  <c r="N42" i="36"/>
  <c r="N45" i="36"/>
  <c r="N76" i="36"/>
  <c r="P76" i="36" s="1"/>
  <c r="S76" i="36" s="1"/>
  <c r="N21" i="36"/>
  <c r="P21" i="36" s="1"/>
  <c r="S21" i="36" s="1"/>
  <c r="N27" i="36"/>
  <c r="P27" i="36" s="1"/>
  <c r="S27" i="36" s="1"/>
  <c r="N30" i="36"/>
  <c r="T99" i="36"/>
  <c r="U99" i="36" s="1"/>
  <c r="M19" i="50"/>
  <c r="O55" i="50"/>
  <c r="N15" i="36"/>
  <c r="P15" i="36" s="1"/>
  <c r="S15" i="36" s="1"/>
  <c r="N22" i="36"/>
  <c r="P22" i="36" s="1"/>
  <c r="S22" i="36" s="1"/>
  <c r="N52" i="36"/>
  <c r="N54" i="36"/>
  <c r="G10" i="10"/>
  <c r="G12" i="10"/>
  <c r="G14" i="10"/>
  <c r="G16" i="10"/>
  <c r="G18" i="10"/>
  <c r="F18" i="10"/>
  <c r="F16" i="10"/>
  <c r="F14" i="10"/>
  <c r="F12" i="10"/>
  <c r="F10" i="10"/>
  <c r="B6" i="10"/>
  <c r="D6" i="10" s="1"/>
  <c r="E6" i="10" s="1"/>
  <c r="F6" i="10" s="1"/>
  <c r="D5" i="10"/>
  <c r="E5" i="10" s="1"/>
  <c r="F5" i="10" s="1"/>
  <c r="D4" i="10"/>
  <c r="E4" i="10" s="1"/>
  <c r="F4" i="10" s="1"/>
  <c r="N10" i="46"/>
  <c r="Q10" i="46" s="1"/>
  <c r="P10" i="46"/>
  <c r="N11" i="46"/>
  <c r="Q11" i="46" s="1"/>
  <c r="N12" i="46"/>
  <c r="P12" i="46"/>
  <c r="N13" i="46"/>
  <c r="P14" i="46"/>
  <c r="N15" i="46"/>
  <c r="P15" i="46"/>
  <c r="Q15" i="46" s="1"/>
  <c r="N16" i="46"/>
  <c r="Q16" i="46" s="1"/>
  <c r="P16" i="46"/>
  <c r="P17" i="46"/>
  <c r="P18" i="46"/>
  <c r="L19" i="46"/>
  <c r="N19" i="46" s="1"/>
  <c r="P20" i="46"/>
  <c r="N21" i="46"/>
  <c r="P22" i="46"/>
  <c r="Q22" i="46" s="1"/>
  <c r="N23" i="46"/>
  <c r="Q23" i="46" s="1"/>
  <c r="N25" i="46"/>
  <c r="P25" i="46"/>
  <c r="N26" i="46"/>
  <c r="P26" i="46"/>
  <c r="N28" i="46"/>
  <c r="P28" i="46"/>
  <c r="P30" i="46"/>
  <c r="Q30" i="46" s="1"/>
  <c r="N31" i="46"/>
  <c r="Q31" i="46" s="1"/>
  <c r="P31" i="46"/>
  <c r="N33" i="46"/>
  <c r="P33" i="46"/>
  <c r="Q33" i="46" s="1"/>
  <c r="P35" i="46"/>
  <c r="P36" i="46"/>
  <c r="Q36" i="46" s="1"/>
  <c r="N37" i="46"/>
  <c r="P37" i="46"/>
  <c r="N39" i="46"/>
  <c r="Q39" i="46" s="1"/>
  <c r="P39" i="46"/>
  <c r="N41" i="46"/>
  <c r="P41" i="46"/>
  <c r="Q41" i="46" s="1"/>
  <c r="P44" i="46"/>
  <c r="Q44" i="46" s="1"/>
  <c r="P46" i="46"/>
  <c r="P47" i="46"/>
  <c r="Q47" i="46" s="1"/>
  <c r="P48" i="46"/>
  <c r="N50" i="46"/>
  <c r="Q50" i="46" s="1"/>
  <c r="P50" i="46"/>
  <c r="N52" i="46"/>
  <c r="P52" i="46"/>
  <c r="Q52" i="46" s="1"/>
  <c r="N54" i="46"/>
  <c r="Q54" i="46" s="1"/>
  <c r="P54" i="46"/>
  <c r="P57" i="46"/>
  <c r="Q57" i="46" s="1"/>
  <c r="N58" i="46"/>
  <c r="P58" i="46"/>
  <c r="P60" i="46"/>
  <c r="Q60" i="46" s="1"/>
  <c r="N62" i="46"/>
  <c r="P62" i="46"/>
  <c r="N64" i="46"/>
  <c r="Q64" i="46" s="1"/>
  <c r="P64" i="46"/>
  <c r="N65" i="46"/>
  <c r="P65" i="46"/>
  <c r="Q65" i="46" s="1"/>
  <c r="N67" i="46"/>
  <c r="Q67" i="46" s="1"/>
  <c r="P67" i="46"/>
  <c r="N69" i="46"/>
  <c r="P69" i="46"/>
  <c r="N70" i="46"/>
  <c r="Q70" i="46" s="1"/>
  <c r="P70" i="46"/>
  <c r="N72" i="46"/>
  <c r="P72" i="46"/>
  <c r="P75" i="46"/>
  <c r="Q75" i="46" s="1"/>
  <c r="N76" i="46"/>
  <c r="P76" i="46"/>
  <c r="N78" i="46"/>
  <c r="P78" i="46"/>
  <c r="N80" i="46"/>
  <c r="P80" i="46"/>
  <c r="N82" i="46"/>
  <c r="Q82" i="46" s="1"/>
  <c r="P82" i="46"/>
  <c r="N83" i="46"/>
  <c r="P83" i="46"/>
  <c r="P85" i="46"/>
  <c r="Q85" i="46" s="1"/>
  <c r="P86" i="46"/>
  <c r="Q86" i="46" s="1"/>
  <c r="P87" i="46"/>
  <c r="P88" i="46"/>
  <c r="Q88" i="46" s="1"/>
  <c r="N89" i="46"/>
  <c r="Q89" i="46" s="1"/>
  <c r="P89" i="46"/>
  <c r="N91" i="46"/>
  <c r="P91" i="46"/>
  <c r="N93" i="46"/>
  <c r="P93" i="46"/>
  <c r="P95" i="46"/>
  <c r="Q95" i="46" s="1"/>
  <c r="P96" i="46"/>
  <c r="Q96" i="46" s="1"/>
  <c r="N97" i="46"/>
  <c r="Q97" i="46" s="1"/>
  <c r="P97" i="46"/>
  <c r="N98" i="46"/>
  <c r="P98" i="46"/>
  <c r="N100" i="46"/>
  <c r="P100" i="46"/>
  <c r="N102" i="46"/>
  <c r="P102" i="46"/>
  <c r="N105" i="46"/>
  <c r="Q105" i="46" s="1"/>
  <c r="P105" i="46"/>
  <c r="P107" i="46"/>
  <c r="Q107" i="46" s="1"/>
  <c r="P108" i="46"/>
  <c r="Q108" i="46" s="1"/>
  <c r="N109" i="46"/>
  <c r="Q109" i="46" s="1"/>
  <c r="P109" i="46"/>
  <c r="N111" i="46"/>
  <c r="P111" i="46"/>
  <c r="N112" i="46"/>
  <c r="Q112" i="46" s="1"/>
  <c r="P112" i="46"/>
  <c r="N114" i="46"/>
  <c r="P114" i="46"/>
  <c r="N116" i="46"/>
  <c r="P116" i="46"/>
  <c r="P118" i="46"/>
  <c r="Q118" i="46" s="1"/>
  <c r="N120" i="46"/>
  <c r="P120" i="46"/>
  <c r="Q120" i="46" s="1"/>
  <c r="N122" i="46"/>
  <c r="P122" i="46"/>
  <c r="N124" i="46"/>
  <c r="P124" i="46"/>
  <c r="N125" i="46"/>
  <c r="Q125" i="46" s="1"/>
  <c r="P125" i="46"/>
  <c r="N127" i="46"/>
  <c r="P127" i="46"/>
  <c r="Q127" i="46" s="1"/>
  <c r="N129" i="46"/>
  <c r="P129" i="46"/>
  <c r="N131" i="46"/>
  <c r="P131" i="46"/>
  <c r="N133" i="46"/>
  <c r="P133" i="46"/>
  <c r="N135" i="46"/>
  <c r="P135" i="46"/>
  <c r="N136" i="46"/>
  <c r="Q136" i="46" s="1"/>
  <c r="P136" i="46"/>
  <c r="P138" i="46"/>
  <c r="Q138" i="46" s="1"/>
  <c r="Q139" i="46"/>
  <c r="N140" i="46"/>
  <c r="P140" i="46"/>
  <c r="N142" i="46"/>
  <c r="P142" i="46"/>
  <c r="N144" i="46"/>
  <c r="P144" i="46"/>
  <c r="N146" i="46"/>
  <c r="P146" i="46"/>
  <c r="Q146" i="46" s="1"/>
  <c r="N147" i="46"/>
  <c r="P147" i="46"/>
  <c r="P150" i="46"/>
  <c r="Q150" i="46" s="1"/>
  <c r="N151" i="46"/>
  <c r="Q151" i="46" s="1"/>
  <c r="P151" i="46"/>
  <c r="P153" i="46"/>
  <c r="Q153" i="46" s="1"/>
  <c r="N154" i="46"/>
  <c r="P154" i="46"/>
  <c r="N156" i="46"/>
  <c r="Q156" i="46" s="1"/>
  <c r="P156" i="46"/>
  <c r="N158" i="46"/>
  <c r="P158" i="46"/>
  <c r="Q158" i="46" s="1"/>
  <c r="P160" i="46"/>
  <c r="Q160" i="46" s="1"/>
  <c r="P162" i="46"/>
  <c r="Q162" i="46" s="1"/>
  <c r="N163" i="46"/>
  <c r="P163" i="46"/>
  <c r="N165" i="46"/>
  <c r="Q165" i="46" s="1"/>
  <c r="P165" i="46"/>
  <c r="N166" i="46"/>
  <c r="P166" i="46"/>
  <c r="Q166" i="46" s="1"/>
  <c r="N168" i="46"/>
  <c r="Q168" i="46" s="1"/>
  <c r="P168" i="46"/>
  <c r="N170" i="46"/>
  <c r="P170" i="46"/>
  <c r="P172" i="46"/>
  <c r="Q172" i="46" s="1"/>
  <c r="P9" i="46"/>
  <c r="M126" i="50"/>
  <c r="O126" i="50" s="1"/>
  <c r="S126" i="50" s="1"/>
  <c r="M51" i="50"/>
  <c r="M47" i="50"/>
  <c r="O47" i="50" s="1"/>
  <c r="M36" i="50"/>
  <c r="O36" i="50"/>
  <c r="O60" i="50"/>
  <c r="S60" i="50" s="1"/>
  <c r="R60" i="50"/>
  <c r="R12" i="50"/>
  <c r="S12" i="50" s="1"/>
  <c r="R13" i="50"/>
  <c r="O13" i="50"/>
  <c r="R14" i="50"/>
  <c r="O14" i="50"/>
  <c r="O15" i="50"/>
  <c r="R16" i="50"/>
  <c r="S16" i="50" s="1"/>
  <c r="O16" i="50"/>
  <c r="R17" i="50"/>
  <c r="O17" i="50"/>
  <c r="S17" i="50" s="1"/>
  <c r="R20" i="50"/>
  <c r="O20" i="50"/>
  <c r="R22" i="50"/>
  <c r="R23" i="50"/>
  <c r="O23" i="50"/>
  <c r="R24" i="50"/>
  <c r="O24" i="50"/>
  <c r="R26" i="50"/>
  <c r="R27" i="50"/>
  <c r="O27" i="50"/>
  <c r="R29" i="50"/>
  <c r="O29" i="50"/>
  <c r="O31" i="50"/>
  <c r="R32" i="50"/>
  <c r="S32" i="50" s="1"/>
  <c r="O32" i="50"/>
  <c r="R34" i="50"/>
  <c r="O34" i="50"/>
  <c r="R36" i="50"/>
  <c r="O37" i="50"/>
  <c r="R38" i="50"/>
  <c r="O38" i="50"/>
  <c r="R40" i="50"/>
  <c r="O40" i="50"/>
  <c r="R42" i="50"/>
  <c r="O42" i="50"/>
  <c r="O43" i="50"/>
  <c r="R46" i="50"/>
  <c r="R45" i="50"/>
  <c r="O45" i="50"/>
  <c r="R9" i="50"/>
  <c r="O9" i="50"/>
  <c r="R10" i="50"/>
  <c r="O11" i="50"/>
  <c r="R48" i="50"/>
  <c r="O48" i="50"/>
  <c r="R49" i="50"/>
  <c r="O49" i="50"/>
  <c r="R51" i="50"/>
  <c r="O52" i="50"/>
  <c r="R53" i="50"/>
  <c r="O53" i="50"/>
  <c r="R55" i="50"/>
  <c r="S55" i="50" s="1"/>
  <c r="R56" i="50"/>
  <c r="O56" i="50"/>
  <c r="R58" i="50"/>
  <c r="S58" i="50" s="1"/>
  <c r="O58" i="50"/>
  <c r="R61" i="50"/>
  <c r="O61" i="50"/>
  <c r="S61" i="50" s="1"/>
  <c r="R64" i="50"/>
  <c r="O64" i="50"/>
  <c r="O63" i="50"/>
  <c r="R65" i="50"/>
  <c r="O65" i="50"/>
  <c r="R67" i="50"/>
  <c r="O67" i="50"/>
  <c r="R69" i="50"/>
  <c r="O69" i="50"/>
  <c r="O68" i="50"/>
  <c r="R44" i="50"/>
  <c r="R71" i="50"/>
  <c r="R70" i="50"/>
  <c r="O70" i="50"/>
  <c r="R72" i="50"/>
  <c r="O72" i="50"/>
  <c r="R74" i="50"/>
  <c r="S74" i="50" s="1"/>
  <c r="O74" i="50"/>
  <c r="R77" i="50"/>
  <c r="O77" i="50"/>
  <c r="R76" i="50"/>
  <c r="O76" i="50"/>
  <c r="O78" i="50"/>
  <c r="R79" i="50"/>
  <c r="O79" i="50"/>
  <c r="S79" i="50" s="1"/>
  <c r="R81" i="50"/>
  <c r="R82" i="50"/>
  <c r="O82" i="50"/>
  <c r="R85" i="50"/>
  <c r="S85" i="50" s="1"/>
  <c r="O85" i="50"/>
  <c r="O84" i="50"/>
  <c r="R86" i="50"/>
  <c r="O86" i="50"/>
  <c r="R87" i="50"/>
  <c r="O87" i="50"/>
  <c r="R89" i="50"/>
  <c r="O89" i="50"/>
  <c r="R92" i="50"/>
  <c r="S92" i="50" s="1"/>
  <c r="O92" i="50"/>
  <c r="R91" i="50"/>
  <c r="O91" i="50"/>
  <c r="R93" i="50"/>
  <c r="S93" i="50" s="1"/>
  <c r="O93" i="50"/>
  <c r="O95" i="50"/>
  <c r="R96" i="50"/>
  <c r="O96" i="50"/>
  <c r="R98" i="50"/>
  <c r="O98" i="50"/>
  <c r="R100" i="50"/>
  <c r="S100" i="50" s="1"/>
  <c r="O100" i="50"/>
  <c r="R104" i="50"/>
  <c r="O104" i="50"/>
  <c r="R103" i="50"/>
  <c r="S103" i="50" s="1"/>
  <c r="O103" i="50"/>
  <c r="R105" i="50"/>
  <c r="O105" i="50"/>
  <c r="O107" i="50"/>
  <c r="R108" i="50"/>
  <c r="O108" i="50"/>
  <c r="R111" i="50"/>
  <c r="O111" i="50"/>
  <c r="R110" i="50"/>
  <c r="S110" i="50" s="1"/>
  <c r="O110" i="50"/>
  <c r="O112" i="50"/>
  <c r="R113" i="50"/>
  <c r="O113" i="50"/>
  <c r="R115" i="50"/>
  <c r="O115" i="50"/>
  <c r="R117" i="50"/>
  <c r="S117" i="50" s="1"/>
  <c r="O117" i="50"/>
  <c r="R118" i="50"/>
  <c r="O118" i="50"/>
  <c r="R119" i="50"/>
  <c r="S119" i="50" s="1"/>
  <c r="O119" i="50"/>
  <c r="R120" i="50"/>
  <c r="S120" i="50" s="1"/>
  <c r="O120" i="50"/>
  <c r="R121" i="50"/>
  <c r="S121" i="50" s="1"/>
  <c r="O121" i="50"/>
  <c r="R123" i="50"/>
  <c r="O123" i="50"/>
  <c r="R125" i="50"/>
  <c r="O125" i="50"/>
  <c r="N175" i="46"/>
  <c r="Q175" i="46" s="1"/>
  <c r="P176" i="46"/>
  <c r="Q179" i="46"/>
  <c r="N59" i="45"/>
  <c r="Q59" i="45" s="1"/>
  <c r="P28" i="45"/>
  <c r="N28" i="45"/>
  <c r="N20" i="45"/>
  <c r="N9" i="45"/>
  <c r="Q9" i="45" s="1"/>
  <c r="N10" i="45"/>
  <c r="P10" i="45"/>
  <c r="N11" i="45"/>
  <c r="P11" i="45"/>
  <c r="P13" i="45"/>
  <c r="N14" i="45"/>
  <c r="N15" i="45"/>
  <c r="P15" i="45"/>
  <c r="N18" i="45"/>
  <c r="P18" i="45"/>
  <c r="N19" i="45"/>
  <c r="N21" i="45"/>
  <c r="P21" i="45"/>
  <c r="N22" i="45"/>
  <c r="P22" i="45"/>
  <c r="N24" i="45"/>
  <c r="P24" i="45"/>
  <c r="N27" i="45"/>
  <c r="P27" i="45"/>
  <c r="Q27" i="45" s="1"/>
  <c r="N29" i="45"/>
  <c r="P29" i="45"/>
  <c r="N31" i="45"/>
  <c r="P31" i="45"/>
  <c r="Q31" i="45" s="1"/>
  <c r="N32" i="45"/>
  <c r="Q32" i="45" s="1"/>
  <c r="N34" i="45"/>
  <c r="P34" i="45"/>
  <c r="N37" i="45"/>
  <c r="Q37" i="45" s="1"/>
  <c r="P37" i="45"/>
  <c r="N38" i="45"/>
  <c r="N40" i="45"/>
  <c r="P40" i="45"/>
  <c r="P41" i="45"/>
  <c r="P43" i="45"/>
  <c r="N46" i="45"/>
  <c r="P46" i="45"/>
  <c r="N49" i="45"/>
  <c r="P49" i="45"/>
  <c r="N50" i="45"/>
  <c r="P50" i="45"/>
  <c r="N52" i="45"/>
  <c r="P52" i="45"/>
  <c r="N54" i="45"/>
  <c r="N56" i="45"/>
  <c r="P56" i="45"/>
  <c r="N58" i="45"/>
  <c r="Q58" i="45" s="1"/>
  <c r="P58" i="45"/>
  <c r="N61" i="45"/>
  <c r="P61" i="45"/>
  <c r="N65" i="45"/>
  <c r="P65" i="45"/>
  <c r="N66" i="45"/>
  <c r="P66" i="45"/>
  <c r="N68" i="45"/>
  <c r="P68" i="45"/>
  <c r="N69" i="45"/>
  <c r="Q69" i="45" s="1"/>
  <c r="N71" i="45"/>
  <c r="P71" i="45"/>
  <c r="N72" i="45"/>
  <c r="P72" i="45"/>
  <c r="N74" i="45"/>
  <c r="P74" i="45"/>
  <c r="N75" i="45"/>
  <c r="P75" i="45"/>
  <c r="N77" i="45"/>
  <c r="P77" i="45"/>
  <c r="N78" i="45"/>
  <c r="Q78" i="45" s="1"/>
  <c r="N80" i="45"/>
  <c r="P80" i="45"/>
  <c r="N81" i="45"/>
  <c r="Q81" i="45" s="1"/>
  <c r="P81" i="45"/>
  <c r="N83" i="45"/>
  <c r="P83" i="45"/>
  <c r="N84" i="45"/>
  <c r="Q84" i="45" s="1"/>
  <c r="N86" i="45"/>
  <c r="P86" i="45"/>
  <c r="Q86" i="45" s="1"/>
  <c r="P87" i="45"/>
  <c r="N89" i="45"/>
  <c r="P89" i="45"/>
  <c r="N90" i="45"/>
  <c r="P90" i="45"/>
  <c r="N92" i="45"/>
  <c r="P92" i="45"/>
  <c r="N93" i="45"/>
  <c r="P93" i="45"/>
  <c r="N95" i="45"/>
  <c r="P95" i="45"/>
  <c r="N96" i="45"/>
  <c r="P96" i="45"/>
  <c r="N98" i="45"/>
  <c r="P98" i="45"/>
  <c r="P99" i="45"/>
  <c r="Q99" i="45" s="1"/>
  <c r="N101" i="45"/>
  <c r="Q101" i="45" s="1"/>
  <c r="P101" i="45"/>
  <c r="P102" i="45"/>
  <c r="N104" i="45"/>
  <c r="P104" i="45"/>
  <c r="P105" i="45"/>
  <c r="P106" i="45"/>
  <c r="N107" i="45"/>
  <c r="Q107" i="45" s="1"/>
  <c r="P108" i="45"/>
  <c r="N109" i="45"/>
  <c r="P109" i="45"/>
  <c r="L112" i="45"/>
  <c r="N112" i="45" s="1"/>
  <c r="Q112" i="45" s="1"/>
  <c r="P116" i="45"/>
  <c r="T61" i="36"/>
  <c r="U61" i="36" s="1"/>
  <c r="N127" i="36"/>
  <c r="P127" i="36" s="1"/>
  <c r="S127" i="36"/>
  <c r="R129" i="36"/>
  <c r="Q9" i="61"/>
  <c r="S9" i="61" s="1"/>
  <c r="C4" i="28"/>
  <c r="E4" i="28" s="1"/>
  <c r="B4" i="28"/>
  <c r="K84" i="75"/>
  <c r="K98" i="75"/>
  <c r="K73" i="75"/>
  <c r="K131" i="75"/>
  <c r="K127" i="75"/>
  <c r="K107" i="75"/>
  <c r="K36" i="75"/>
  <c r="K33" i="75"/>
  <c r="K29" i="75"/>
  <c r="K3" i="75"/>
  <c r="K100" i="75"/>
  <c r="K91" i="75"/>
  <c r="K77" i="75"/>
  <c r="K133" i="75"/>
  <c r="K128" i="75"/>
  <c r="K123" i="75"/>
  <c r="K108" i="75"/>
  <c r="K104" i="75"/>
  <c r="K32" i="75"/>
  <c r="K28" i="75"/>
  <c r="K37" i="75"/>
  <c r="K34" i="75"/>
  <c r="K30" i="75"/>
  <c r="K93" i="75"/>
  <c r="K103" i="75"/>
  <c r="K124" i="75"/>
  <c r="K162" i="75"/>
  <c r="K155" i="75"/>
  <c r="M92" i="63"/>
  <c r="L92" i="63"/>
  <c r="M62" i="63"/>
  <c r="L62" i="63"/>
  <c r="R126" i="36"/>
  <c r="S126" i="36" s="1"/>
  <c r="N66" i="64"/>
  <c r="P66" i="64" s="1"/>
  <c r="M66" i="64"/>
  <c r="M72" i="63"/>
  <c r="N72" i="63" s="1"/>
  <c r="L72" i="63"/>
  <c r="S137" i="61"/>
  <c r="S63" i="61"/>
  <c r="S113" i="61"/>
  <c r="M31" i="64"/>
  <c r="L94" i="63"/>
  <c r="L146" i="63"/>
  <c r="M109" i="63"/>
  <c r="O109" i="63" s="1"/>
  <c r="P109" i="63" s="1"/>
  <c r="L109" i="63"/>
  <c r="M77" i="63"/>
  <c r="O77" i="63" s="1"/>
  <c r="T9" i="27"/>
  <c r="S35" i="61"/>
  <c r="S45" i="61"/>
  <c r="S99" i="61"/>
  <c r="S125" i="61"/>
  <c r="S133" i="61"/>
  <c r="S77" i="50"/>
  <c r="M144" i="63"/>
  <c r="N144" i="63" s="1"/>
  <c r="P32" i="36"/>
  <c r="S32" i="36" s="1"/>
  <c r="P54" i="36"/>
  <c r="S54" i="36" s="1"/>
  <c r="P97" i="36"/>
  <c r="S97" i="36" s="1"/>
  <c r="P113" i="36"/>
  <c r="S113" i="36" s="1"/>
  <c r="P101" i="36"/>
  <c r="S101" i="36" s="1"/>
  <c r="E10" i="73"/>
  <c r="G10" i="73" s="1"/>
  <c r="G19" i="73" s="1"/>
  <c r="F10" i="73"/>
  <c r="M142" i="63"/>
  <c r="M110" i="63"/>
  <c r="L110" i="63"/>
  <c r="M108" i="63"/>
  <c r="L108" i="63"/>
  <c r="M93" i="63"/>
  <c r="N93" i="63" s="1"/>
  <c r="L93" i="63"/>
  <c r="M78" i="63"/>
  <c r="O78" i="63" s="1"/>
  <c r="P78" i="63" s="1"/>
  <c r="L78" i="63"/>
  <c r="M76" i="63"/>
  <c r="L76" i="63"/>
  <c r="M74" i="63"/>
  <c r="O74" i="63" s="1"/>
  <c r="P74" i="63" s="1"/>
  <c r="M61" i="63"/>
  <c r="O61" i="63" s="1"/>
  <c r="P61" i="63" s="1"/>
  <c r="L61" i="63"/>
  <c r="D7" i="28"/>
  <c r="E7" i="28"/>
  <c r="L124" i="63"/>
  <c r="M124" i="63"/>
  <c r="N124" i="63" s="1"/>
  <c r="K41" i="75"/>
  <c r="K45" i="75"/>
  <c r="K52" i="75"/>
  <c r="K62" i="75"/>
  <c r="K66" i="75"/>
  <c r="K69" i="75"/>
  <c r="K44" i="75"/>
  <c r="K48" i="75"/>
  <c r="K61" i="75"/>
  <c r="K65" i="75"/>
  <c r="K68" i="75"/>
  <c r="K43" i="75"/>
  <c r="K64" i="75"/>
  <c r="K39" i="75"/>
  <c r="K40" i="75"/>
  <c r="K67" i="75"/>
  <c r="K42" i="75"/>
  <c r="K63" i="75"/>
  <c r="K70" i="75"/>
  <c r="K46" i="75"/>
  <c r="M46" i="46"/>
  <c r="N46" i="46"/>
  <c r="Q46" i="46" s="1"/>
  <c r="T19" i="27"/>
  <c r="T27" i="27"/>
  <c r="N24" i="64"/>
  <c r="R24" i="64" s="1"/>
  <c r="S24" i="64" s="1"/>
  <c r="N48" i="64"/>
  <c r="S48" i="50"/>
  <c r="S36" i="50"/>
  <c r="T13" i="27"/>
  <c r="T61" i="27"/>
  <c r="T69" i="27"/>
  <c r="T77" i="27"/>
  <c r="T85" i="27"/>
  <c r="T93" i="27"/>
  <c r="T101" i="27"/>
  <c r="T125" i="27"/>
  <c r="T133" i="27"/>
  <c r="T141" i="27"/>
  <c r="E153" i="73"/>
  <c r="G153" i="73" s="1"/>
  <c r="G163" i="73" s="1"/>
  <c r="G169" i="73" s="1"/>
  <c r="L88" i="63"/>
  <c r="M114" i="63"/>
  <c r="N114" i="63" s="1"/>
  <c r="L114" i="63"/>
  <c r="M98" i="63"/>
  <c r="O98" i="63" s="1"/>
  <c r="P98" i="63" s="1"/>
  <c r="L98" i="63"/>
  <c r="M82" i="63"/>
  <c r="O82" i="63" s="1"/>
  <c r="P82" i="63" s="1"/>
  <c r="L82" i="63"/>
  <c r="M66" i="63"/>
  <c r="O66" i="63" s="1"/>
  <c r="L66" i="63"/>
  <c r="M60" i="63"/>
  <c r="N60" i="63" s="1"/>
  <c r="L60" i="63"/>
  <c r="M86" i="63"/>
  <c r="L86" i="63"/>
  <c r="M70" i="63"/>
  <c r="N70" i="63" s="1"/>
  <c r="L70" i="63"/>
  <c r="N38" i="64"/>
  <c r="N54" i="64"/>
  <c r="P54" i="64" s="1"/>
  <c r="N65" i="64"/>
  <c r="P65" i="64" s="1"/>
  <c r="G109" i="73"/>
  <c r="M125" i="63"/>
  <c r="O125" i="63" s="1"/>
  <c r="P125" i="63" s="1"/>
  <c r="M43" i="63"/>
  <c r="O43" i="63" s="1"/>
  <c r="P43" i="63" s="1"/>
  <c r="P81" i="36"/>
  <c r="S81" i="36" s="1"/>
  <c r="P122" i="36"/>
  <c r="S122" i="36" s="1"/>
  <c r="P90" i="36"/>
  <c r="S90" i="36" s="1"/>
  <c r="P66" i="36"/>
  <c r="S66" i="36"/>
  <c r="S59" i="36"/>
  <c r="P52" i="36"/>
  <c r="S52" i="36" s="1"/>
  <c r="S55" i="36"/>
  <c r="S71" i="36"/>
  <c r="S31" i="36"/>
  <c r="S99" i="36"/>
  <c r="P30" i="36"/>
  <c r="S30" i="36" s="1"/>
  <c r="K76" i="75"/>
  <c r="K83" i="75"/>
  <c r="K92" i="75"/>
  <c r="K99" i="75"/>
  <c r="K71" i="75"/>
  <c r="K72" i="75"/>
  <c r="K75" i="75"/>
  <c r="K95" i="75"/>
  <c r="K102" i="75"/>
  <c r="P45" i="36"/>
  <c r="S45" i="36" s="1"/>
  <c r="S87" i="36"/>
  <c r="N17" i="63"/>
  <c r="O13" i="63"/>
  <c r="P13" i="63"/>
  <c r="K139" i="75"/>
  <c r="K143" i="75"/>
  <c r="K154" i="75"/>
  <c r="K158" i="75"/>
  <c r="K161" i="75"/>
  <c r="K135" i="75"/>
  <c r="K138" i="75"/>
  <c r="K142" i="75"/>
  <c r="K153" i="75"/>
  <c r="K160" i="75"/>
  <c r="K134" i="75"/>
  <c r="K101" i="75"/>
  <c r="K94" i="75"/>
  <c r="K74" i="75"/>
  <c r="S34" i="36"/>
  <c r="P42" i="36"/>
  <c r="S42" i="36" s="1"/>
  <c r="S67" i="36"/>
  <c r="K132" i="75"/>
  <c r="K129" i="75"/>
  <c r="K125" i="75"/>
  <c r="K109" i="75"/>
  <c r="N57" i="50"/>
  <c r="O57" i="50" s="1"/>
  <c r="M66" i="1"/>
  <c r="N66" i="1" s="1"/>
  <c r="M49" i="1"/>
  <c r="N49" i="1" s="1"/>
  <c r="Q49" i="1" s="1"/>
  <c r="N125" i="63"/>
  <c r="O86" i="63"/>
  <c r="P86" i="63" s="1"/>
  <c r="N86" i="63"/>
  <c r="P24" i="64"/>
  <c r="N43" i="63"/>
  <c r="N74" i="63"/>
  <c r="O93" i="63"/>
  <c r="P93" i="63" s="1"/>
  <c r="P77" i="63"/>
  <c r="N77" i="63"/>
  <c r="R65" i="64"/>
  <c r="S65" i="64" s="1"/>
  <c r="R38" i="64"/>
  <c r="S38" i="64" s="1"/>
  <c r="P38" i="64"/>
  <c r="P66" i="63"/>
  <c r="N66" i="63"/>
  <c r="N82" i="63"/>
  <c r="N98" i="63"/>
  <c r="O144" i="63"/>
  <c r="P144" i="63" s="1"/>
  <c r="N61" i="63"/>
  <c r="O110" i="63"/>
  <c r="P110" i="63" s="1"/>
  <c r="N110" i="63"/>
  <c r="N142" i="63"/>
  <c r="O142" i="63"/>
  <c r="P142" i="63" s="1"/>
  <c r="N109" i="63"/>
  <c r="O62" i="63"/>
  <c r="P62" i="63"/>
  <c r="N62" i="63"/>
  <c r="Q102" i="1"/>
  <c r="Q54" i="1"/>
  <c r="Q39" i="1"/>
  <c r="Q69" i="1"/>
  <c r="Q48" i="1"/>
  <c r="S28" i="50"/>
  <c r="S50" i="50"/>
  <c r="S114" i="50"/>
  <c r="S86" i="50"/>
  <c r="S40" i="50"/>
  <c r="Q111" i="46"/>
  <c r="Q131" i="46"/>
  <c r="N24" i="46"/>
  <c r="Q24" i="46" s="1"/>
  <c r="Q98" i="46"/>
  <c r="Q21" i="46"/>
  <c r="Q116" i="46"/>
  <c r="Q80" i="46"/>
  <c r="Q76" i="46"/>
  <c r="Q26" i="46"/>
  <c r="Q12" i="46"/>
  <c r="N40" i="46"/>
  <c r="N32" i="46"/>
  <c r="Q142" i="46"/>
  <c r="Q122" i="46"/>
  <c r="Q114" i="46"/>
  <c r="Q91" i="46"/>
  <c r="Q37" i="46"/>
  <c r="Q13" i="46"/>
  <c r="Q19" i="46"/>
  <c r="Q140" i="46"/>
  <c r="Q124" i="46"/>
  <c r="Q133" i="46"/>
  <c r="Q102" i="46"/>
  <c r="Q93" i="46"/>
  <c r="Q100" i="46"/>
  <c r="Q83" i="46"/>
  <c r="Q28" i="46"/>
  <c r="Q45" i="46"/>
  <c r="Q147" i="46"/>
  <c r="Q129" i="46"/>
  <c r="Q78" i="46"/>
  <c r="Q25" i="46"/>
  <c r="Q14" i="46"/>
  <c r="Q163" i="46"/>
  <c r="Q154" i="46"/>
  <c r="S120" i="36"/>
  <c r="S20" i="36"/>
  <c r="S104" i="36"/>
  <c r="S118" i="36"/>
  <c r="S112" i="36"/>
  <c r="D10" i="28"/>
  <c r="I9" i="28"/>
  <c r="K9" i="28"/>
  <c r="M17" i="64"/>
  <c r="N17" i="64"/>
  <c r="N25" i="64"/>
  <c r="M25" i="64"/>
  <c r="N34" i="64"/>
  <c r="P34" i="64" s="1"/>
  <c r="M34" i="64"/>
  <c r="P44" i="64"/>
  <c r="R44" i="64"/>
  <c r="S44" i="64" s="1"/>
  <c r="N47" i="64"/>
  <c r="M47" i="64"/>
  <c r="M52" i="64"/>
  <c r="N52" i="64"/>
  <c r="P52" i="64" s="1"/>
  <c r="M56" i="64"/>
  <c r="N56" i="64"/>
  <c r="N61" i="64"/>
  <c r="P61" i="64" s="1"/>
  <c r="M61" i="64"/>
  <c r="L149" i="63"/>
  <c r="M149" i="63"/>
  <c r="L147" i="63"/>
  <c r="M136" i="63"/>
  <c r="O136" i="63" s="1"/>
  <c r="P136" i="63" s="1"/>
  <c r="L136" i="63"/>
  <c r="N13" i="64"/>
  <c r="P13" i="64" s="1"/>
  <c r="M12" i="64"/>
  <c r="N12" i="64"/>
  <c r="N26" i="64"/>
  <c r="P26" i="64" s="1"/>
  <c r="M26" i="64"/>
  <c r="P31" i="64"/>
  <c r="R31" i="64"/>
  <c r="S31" i="64" s="1"/>
  <c r="M35" i="64"/>
  <c r="N35" i="64"/>
  <c r="R35" i="64" s="1"/>
  <c r="S35" i="64" s="1"/>
  <c r="N49" i="64"/>
  <c r="M49" i="64"/>
  <c r="N62" i="64"/>
  <c r="P62" i="64" s="1"/>
  <c r="M62" i="64"/>
  <c r="N63" i="64"/>
  <c r="M63" i="64"/>
  <c r="O145" i="63"/>
  <c r="P145" i="63" s="1"/>
  <c r="N145" i="63"/>
  <c r="M143" i="63"/>
  <c r="L143" i="63"/>
  <c r="L133" i="63"/>
  <c r="M129" i="63"/>
  <c r="L129" i="63"/>
  <c r="Q60" i="1"/>
  <c r="J198" i="73"/>
  <c r="M148" i="63"/>
  <c r="N148" i="63" s="1"/>
  <c r="M6" i="64"/>
  <c r="N6" i="64"/>
  <c r="M22" i="64"/>
  <c r="N22" i="64"/>
  <c r="R22" i="64" s="1"/>
  <c r="S22" i="64" s="1"/>
  <c r="M27" i="64"/>
  <c r="N27" i="64"/>
  <c r="N30" i="64"/>
  <c r="R30" i="64" s="1"/>
  <c r="S30" i="64" s="1"/>
  <c r="M30" i="64"/>
  <c r="M37" i="64"/>
  <c r="N37" i="64"/>
  <c r="N40" i="64"/>
  <c r="R40" i="64" s="1"/>
  <c r="S40" i="64" s="1"/>
  <c r="M40" i="64"/>
  <c r="N45" i="64"/>
  <c r="M45" i="64"/>
  <c r="N50" i="64"/>
  <c r="M50" i="64"/>
  <c r="R57" i="64"/>
  <c r="S57" i="64" s="1"/>
  <c r="P57" i="64"/>
  <c r="M64" i="64"/>
  <c r="N64" i="64"/>
  <c r="N14" i="64"/>
  <c r="M14" i="64"/>
  <c r="M150" i="63"/>
  <c r="O150" i="63" s="1"/>
  <c r="P150" i="63" s="1"/>
  <c r="L150" i="63"/>
  <c r="L137" i="63"/>
  <c r="M137" i="63"/>
  <c r="L135" i="63"/>
  <c r="M135" i="63"/>
  <c r="O135" i="63" s="1"/>
  <c r="P135" i="63" s="1"/>
  <c r="N9" i="64"/>
  <c r="M9" i="64"/>
  <c r="M15" i="64"/>
  <c r="N15" i="64"/>
  <c r="P15" i="64" s="1"/>
  <c r="M23" i="64"/>
  <c r="N23" i="64"/>
  <c r="M32" i="64"/>
  <c r="N32" i="64"/>
  <c r="R32" i="64" s="1"/>
  <c r="S32" i="64" s="1"/>
  <c r="M46" i="64"/>
  <c r="N46" i="64"/>
  <c r="M51" i="64"/>
  <c r="N51" i="64"/>
  <c r="M132" i="63"/>
  <c r="L132" i="63"/>
  <c r="M130" i="63"/>
  <c r="O130" i="63" s="1"/>
  <c r="P130" i="63" s="1"/>
  <c r="L130" i="63"/>
  <c r="L91" i="63"/>
  <c r="M91" i="63"/>
  <c r="L84" i="63"/>
  <c r="L71" i="63"/>
  <c r="M71" i="63"/>
  <c r="L64" i="63"/>
  <c r="M64" i="63"/>
  <c r="N64" i="63" s="1"/>
  <c r="M55" i="63"/>
  <c r="O55" i="63" s="1"/>
  <c r="P55" i="63" s="1"/>
  <c r="L55" i="63"/>
  <c r="M50" i="63"/>
  <c r="O50" i="63" s="1"/>
  <c r="P50" i="63" s="1"/>
  <c r="L50" i="63"/>
  <c r="M38" i="63"/>
  <c r="N38" i="63" s="1"/>
  <c r="L38" i="63"/>
  <c r="M28" i="63"/>
  <c r="O28" i="63" s="1"/>
  <c r="P28" i="63" s="1"/>
  <c r="M16" i="63"/>
  <c r="O16" i="63" s="1"/>
  <c r="P16" i="63" s="1"/>
  <c r="AD16" i="76"/>
  <c r="AF16" i="76"/>
  <c r="M140" i="63"/>
  <c r="O140" i="63" s="1"/>
  <c r="P140" i="63" s="1"/>
  <c r="Q17" i="46"/>
  <c r="AA140" i="76"/>
  <c r="L81" i="63"/>
  <c r="M81" i="63"/>
  <c r="O81" i="63" s="1"/>
  <c r="P81" i="63" s="1"/>
  <c r="L79" i="63"/>
  <c r="M79" i="63"/>
  <c r="N79" i="63" s="1"/>
  <c r="L68" i="63"/>
  <c r="M68" i="63"/>
  <c r="M57" i="63"/>
  <c r="L57" i="63"/>
  <c r="M34" i="63"/>
  <c r="L34" i="63"/>
  <c r="M18" i="63"/>
  <c r="O18" i="63" s="1"/>
  <c r="P18" i="63" s="1"/>
  <c r="L18" i="63"/>
  <c r="M12" i="63"/>
  <c r="L12" i="63"/>
  <c r="AD72" i="76"/>
  <c r="AF72" i="76"/>
  <c r="M36" i="64"/>
  <c r="L134" i="63"/>
  <c r="L128" i="63"/>
  <c r="Q9" i="46"/>
  <c r="N73" i="45"/>
  <c r="M121" i="63"/>
  <c r="O121" i="63" s="1"/>
  <c r="P121" i="63" s="1"/>
  <c r="L121" i="63"/>
  <c r="L83" i="63"/>
  <c r="M83" i="63"/>
  <c r="L65" i="63"/>
  <c r="M65" i="63"/>
  <c r="O65" i="63" s="1"/>
  <c r="P65" i="63" s="1"/>
  <c r="L63" i="63"/>
  <c r="M63" i="63"/>
  <c r="M54" i="63"/>
  <c r="L54" i="63"/>
  <c r="M39" i="63"/>
  <c r="O39" i="63" s="1"/>
  <c r="P39" i="63" s="1"/>
  <c r="L39" i="63"/>
  <c r="M36" i="63"/>
  <c r="L36" i="63"/>
  <c r="L30" i="63"/>
  <c r="M20" i="63"/>
  <c r="L20" i="63"/>
  <c r="M14" i="63"/>
  <c r="N14" i="63" s="1"/>
  <c r="L14" i="63"/>
  <c r="AD128" i="76"/>
  <c r="AF128" i="76"/>
  <c r="L105" i="63"/>
  <c r="M105" i="63"/>
  <c r="L89" i="63"/>
  <c r="M89" i="63"/>
  <c r="L87" i="63"/>
  <c r="M87" i="63"/>
  <c r="N87" i="63" s="1"/>
  <c r="L80" i="63"/>
  <c r="M80" i="63"/>
  <c r="M69" i="63"/>
  <c r="N69" i="63" s="1"/>
  <c r="L67" i="63"/>
  <c r="M67" i="63"/>
  <c r="L48" i="63"/>
  <c r="M48" i="63"/>
  <c r="N48" i="63" s="1"/>
  <c r="L44" i="63"/>
  <c r="M44" i="63"/>
  <c r="O44" i="63" s="1"/>
  <c r="P44" i="63" s="1"/>
  <c r="M42" i="63"/>
  <c r="L42" i="63"/>
  <c r="M32" i="63"/>
  <c r="N32" i="63" s="1"/>
  <c r="L32" i="63"/>
  <c r="L26" i="63"/>
  <c r="M10" i="63"/>
  <c r="L10" i="63"/>
  <c r="M53" i="63"/>
  <c r="O53" i="63" s="1"/>
  <c r="P53" i="63" s="1"/>
  <c r="M49" i="63"/>
  <c r="O49" i="63" s="1"/>
  <c r="P49" i="63" s="1"/>
  <c r="M35" i="63"/>
  <c r="M31" i="63"/>
  <c r="O31" i="63" s="1"/>
  <c r="P31" i="63" s="1"/>
  <c r="M27" i="63"/>
  <c r="N27" i="63" s="1"/>
  <c r="M23" i="63"/>
  <c r="O23" i="63" s="1"/>
  <c r="P23" i="63" s="1"/>
  <c r="V127" i="76"/>
  <c r="Y127" i="76" s="1"/>
  <c r="AD123" i="76"/>
  <c r="AD118" i="76"/>
  <c r="V117" i="76"/>
  <c r="Y117" i="76" s="1"/>
  <c r="V114" i="76"/>
  <c r="Y114" i="76" s="1"/>
  <c r="AD109" i="76"/>
  <c r="V103" i="76"/>
  <c r="Y103" i="76" s="1"/>
  <c r="V74" i="76"/>
  <c r="Y74" i="76" s="1"/>
  <c r="AD52" i="76"/>
  <c r="V46" i="76"/>
  <c r="Y46" i="76" s="1"/>
  <c r="V24" i="76"/>
  <c r="Y24" i="76" s="1"/>
  <c r="V17" i="76"/>
  <c r="Y17" i="76" s="1"/>
  <c r="U113" i="76"/>
  <c r="U100" i="76"/>
  <c r="U77" i="76"/>
  <c r="U66" i="76"/>
  <c r="U50" i="76"/>
  <c r="U29" i="76"/>
  <c r="U15" i="76"/>
  <c r="O73" i="36"/>
  <c r="P73" i="36" s="1"/>
  <c r="N46" i="50"/>
  <c r="O46" i="50" s="1"/>
  <c r="S46" i="50" s="1"/>
  <c r="L46" i="63"/>
  <c r="L45" i="63"/>
  <c r="L17" i="63"/>
  <c r="L13" i="63"/>
  <c r="L9" i="63"/>
  <c r="V96" i="76"/>
  <c r="Y96" i="76"/>
  <c r="V91" i="76"/>
  <c r="Y91" i="76" s="1"/>
  <c r="AD84" i="76"/>
  <c r="V79" i="76"/>
  <c r="Y79" i="76" s="1"/>
  <c r="AD38" i="76"/>
  <c r="D166" i="74"/>
  <c r="D162" i="74"/>
  <c r="T22" i="76"/>
  <c r="U22" i="76" s="1"/>
  <c r="D158" i="74"/>
  <c r="O14" i="36"/>
  <c r="P14" i="36" s="1"/>
  <c r="S14" i="36" s="1"/>
  <c r="N16" i="61"/>
  <c r="O16" i="61" s="1"/>
  <c r="S16" i="61" s="1"/>
  <c r="M104" i="46"/>
  <c r="N104" i="46" s="1"/>
  <c r="Q104" i="46" s="1"/>
  <c r="N57" i="61"/>
  <c r="O57" i="61" s="1"/>
  <c r="S57" i="61" s="1"/>
  <c r="N81" i="50"/>
  <c r="O81" i="50" s="1"/>
  <c r="S81" i="50" s="1"/>
  <c r="M106" i="1"/>
  <c r="N106" i="1" s="1"/>
  <c r="AD85" i="76"/>
  <c r="V81" i="76"/>
  <c r="Y81" i="76" s="1"/>
  <c r="V69" i="76"/>
  <c r="Y69" i="76" s="1"/>
  <c r="V66" i="76"/>
  <c r="Y66" i="76" s="1"/>
  <c r="AD43" i="76"/>
  <c r="V34" i="76"/>
  <c r="Y34" i="76" s="1"/>
  <c r="V30" i="76"/>
  <c r="Y30" i="76"/>
  <c r="U139" i="76"/>
  <c r="U131" i="76"/>
  <c r="U107" i="76"/>
  <c r="U94" i="76"/>
  <c r="U81" i="76"/>
  <c r="U60" i="76"/>
  <c r="U33" i="76"/>
  <c r="U17" i="76"/>
  <c r="U12" i="76"/>
  <c r="AF12" i="76" s="1"/>
  <c r="H143" i="75"/>
  <c r="O53" i="36"/>
  <c r="P53" i="36" s="1"/>
  <c r="S53" i="36" s="1"/>
  <c r="N71" i="50"/>
  <c r="O71" i="50" s="1"/>
  <c r="S71" i="50" s="1"/>
  <c r="M90" i="1"/>
  <c r="N90" i="1" s="1"/>
  <c r="Q90" i="1" s="1"/>
  <c r="M87" i="46"/>
  <c r="N87" i="46" s="1"/>
  <c r="Q87" i="46" s="1"/>
  <c r="N16" i="45"/>
  <c r="Q16" i="45" s="1"/>
  <c r="V135" i="76"/>
  <c r="Y135" i="76"/>
  <c r="AF135" i="76" s="1"/>
  <c r="V131" i="76"/>
  <c r="Y131" i="76" s="1"/>
  <c r="V113" i="76"/>
  <c r="Y113" i="76"/>
  <c r="V107" i="76"/>
  <c r="Y107" i="76" s="1"/>
  <c r="V70" i="76"/>
  <c r="Y70" i="76" s="1"/>
  <c r="V62" i="76"/>
  <c r="Y62" i="76" s="1"/>
  <c r="V39" i="76"/>
  <c r="Y39" i="76"/>
  <c r="AF39" i="76" s="1"/>
  <c r="V15" i="76"/>
  <c r="Y15" i="76" s="1"/>
  <c r="AD13" i="76"/>
  <c r="F104" i="34"/>
  <c r="O5" i="78" s="1"/>
  <c r="F57" i="34"/>
  <c r="D139" i="68" s="1"/>
  <c r="F89" i="34"/>
  <c r="O48" i="63"/>
  <c r="P48" i="63" s="1"/>
  <c r="O14" i="63"/>
  <c r="P14" i="63" s="1"/>
  <c r="N39" i="63"/>
  <c r="O68" i="63"/>
  <c r="P68" i="63" s="1"/>
  <c r="N68" i="63"/>
  <c r="N140" i="63"/>
  <c r="R14" i="64"/>
  <c r="S14" i="64" s="1"/>
  <c r="P14" i="64"/>
  <c r="R45" i="64"/>
  <c r="S45" i="64" s="1"/>
  <c r="P45" i="64"/>
  <c r="P30" i="64"/>
  <c r="O143" i="63"/>
  <c r="P143" i="63" s="1"/>
  <c r="N143" i="63"/>
  <c r="P63" i="64"/>
  <c r="R63" i="64"/>
  <c r="S63" i="64" s="1"/>
  <c r="P49" i="64"/>
  <c r="R49" i="64"/>
  <c r="S49" i="64" s="1"/>
  <c r="N136" i="63"/>
  <c r="R47" i="64"/>
  <c r="S47" i="64" s="1"/>
  <c r="P47" i="64"/>
  <c r="R34" i="64"/>
  <c r="S34" i="64" s="1"/>
  <c r="N23" i="63"/>
  <c r="N65" i="63"/>
  <c r="O34" i="63"/>
  <c r="P34" i="63" s="1"/>
  <c r="N34" i="63"/>
  <c r="O57" i="63"/>
  <c r="P57" i="63" s="1"/>
  <c r="N57" i="63"/>
  <c r="O38" i="63"/>
  <c r="P38" i="63" s="1"/>
  <c r="N55" i="63"/>
  <c r="N132" i="63"/>
  <c r="O132" i="63"/>
  <c r="P132" i="63" s="1"/>
  <c r="N135" i="63"/>
  <c r="R37" i="64"/>
  <c r="S37" i="64" s="1"/>
  <c r="P37" i="64"/>
  <c r="P6" i="64"/>
  <c r="R6" i="64"/>
  <c r="S6" i="64" s="1"/>
  <c r="O149" i="63"/>
  <c r="P149" i="63"/>
  <c r="N149" i="63"/>
  <c r="P56" i="64"/>
  <c r="R56" i="64"/>
  <c r="S56" i="64"/>
  <c r="R17" i="64"/>
  <c r="S17" i="64" s="1"/>
  <c r="P17" i="64"/>
  <c r="N35" i="63"/>
  <c r="O35" i="63"/>
  <c r="P35" i="63" s="1"/>
  <c r="N44" i="63"/>
  <c r="O80" i="63"/>
  <c r="P80" i="63" s="1"/>
  <c r="N80" i="63"/>
  <c r="N89" i="63"/>
  <c r="O89" i="63"/>
  <c r="P89" i="63" s="1"/>
  <c r="O20" i="63"/>
  <c r="P20" i="63" s="1"/>
  <c r="N20" i="63"/>
  <c r="O36" i="63"/>
  <c r="P36" i="63" s="1"/>
  <c r="N36" i="63"/>
  <c r="O54" i="63"/>
  <c r="P54" i="63" s="1"/>
  <c r="N54" i="63"/>
  <c r="N121" i="63"/>
  <c r="N81" i="63"/>
  <c r="N71" i="63"/>
  <c r="O71" i="63"/>
  <c r="P71" i="63" s="1"/>
  <c r="N91" i="63"/>
  <c r="O91" i="63"/>
  <c r="P91" i="63"/>
  <c r="R46" i="64"/>
  <c r="S46" i="64" s="1"/>
  <c r="P46" i="64"/>
  <c r="R23" i="64"/>
  <c r="S23" i="64"/>
  <c r="P23" i="64"/>
  <c r="R15" i="64"/>
  <c r="S15" i="64" s="1"/>
  <c r="R61" i="64"/>
  <c r="S61" i="64" s="1"/>
  <c r="N31" i="63"/>
  <c r="O10" i="63"/>
  <c r="P10" i="63" s="1"/>
  <c r="N10" i="63"/>
  <c r="O32" i="63"/>
  <c r="P32" i="63" s="1"/>
  <c r="O42" i="63"/>
  <c r="P42" i="63" s="1"/>
  <c r="N42" i="63"/>
  <c r="N63" i="63"/>
  <c r="O63" i="63"/>
  <c r="P63" i="63" s="1"/>
  <c r="N83" i="63"/>
  <c r="O83" i="63"/>
  <c r="P83" i="63" s="1"/>
  <c r="O12" i="63"/>
  <c r="P12" i="63" s="1"/>
  <c r="N12" i="63"/>
  <c r="N16" i="63"/>
  <c r="N28" i="63"/>
  <c r="P9" i="64"/>
  <c r="R9" i="64"/>
  <c r="S9" i="64" s="1"/>
  <c r="N137" i="63"/>
  <c r="O137" i="63"/>
  <c r="P137" i="63"/>
  <c r="R64" i="64"/>
  <c r="S64" i="64" s="1"/>
  <c r="P64" i="64"/>
  <c r="R27" i="64"/>
  <c r="S27" i="64"/>
  <c r="P27" i="64"/>
  <c r="O148" i="63"/>
  <c r="P148" i="63" s="1"/>
  <c r="P35" i="64"/>
  <c r="P12" i="64"/>
  <c r="R12" i="64"/>
  <c r="S12" i="64" s="1"/>
  <c r="I7" i="57"/>
  <c r="I6" i="57"/>
  <c r="I5" i="57"/>
  <c r="I11" i="57"/>
  <c r="I9" i="57"/>
  <c r="I10" i="57"/>
  <c r="Q82" i="45"/>
  <c r="Q73" i="45"/>
  <c r="Q24" i="45"/>
  <c r="Q21" i="45"/>
  <c r="Q79" i="45"/>
  <c r="Q83" i="45"/>
  <c r="Q100" i="45"/>
  <c r="Q28" i="45"/>
  <c r="Q109" i="45"/>
  <c r="Q90" i="45"/>
  <c r="Q41" i="45"/>
  <c r="Q20" i="45"/>
  <c r="Q68" i="45"/>
  <c r="Q65" i="45"/>
  <c r="Q56" i="45"/>
  <c r="Q49" i="45"/>
  <c r="Q34" i="45"/>
  <c r="Q91" i="45"/>
  <c r="Q50" i="45"/>
  <c r="Q22" i="45"/>
  <c r="Q54" i="45"/>
  <c r="Q106" i="45"/>
  <c r="Q104" i="45"/>
  <c r="Q98" i="45"/>
  <c r="Q71" i="45"/>
  <c r="Q61" i="45"/>
  <c r="Q52" i="45"/>
  <c r="Q18" i="45"/>
  <c r="Q14" i="45"/>
  <c r="Q11" i="45"/>
  <c r="Q46" i="45"/>
  <c r="Q29" i="45"/>
  <c r="Q19" i="45"/>
  <c r="Q15" i="45"/>
  <c r="Q10" i="45"/>
  <c r="Q103" i="45"/>
  <c r="D4" i="28"/>
  <c r="Q108" i="45"/>
  <c r="Q45" i="45"/>
  <c r="Q23" i="45"/>
  <c r="Q25" i="45"/>
  <c r="Q12" i="45"/>
  <c r="D9" i="28"/>
  <c r="F9" i="28" s="1"/>
  <c r="L9" i="28" s="1"/>
  <c r="AD31" i="76"/>
  <c r="AF31" i="76"/>
  <c r="AD49" i="76"/>
  <c r="AF106" i="76"/>
  <c r="P19" i="36"/>
  <c r="S19" i="36" s="1"/>
  <c r="O9" i="78"/>
  <c r="O9" i="57"/>
  <c r="M105" i="45"/>
  <c r="N105" i="45" s="1"/>
  <c r="Q105" i="45" s="1"/>
  <c r="M102" i="45"/>
  <c r="N102" i="45" s="1"/>
  <c r="Q102" i="45" s="1"/>
  <c r="C6" i="28"/>
  <c r="E6" i="28" s="1"/>
  <c r="G94" i="75"/>
  <c r="H94" i="75" s="1"/>
  <c r="G187" i="75"/>
  <c r="H187" i="75" s="1"/>
  <c r="G62" i="75"/>
  <c r="H62" i="75" s="1"/>
  <c r="H155" i="75"/>
  <c r="G30" i="75"/>
  <c r="G125" i="75"/>
  <c r="H125" i="75" s="1"/>
  <c r="F23" i="34"/>
  <c r="F26" i="34" s="1"/>
  <c r="S18" i="61"/>
  <c r="S52" i="61"/>
  <c r="S85" i="61"/>
  <c r="S88" i="61"/>
  <c r="S108" i="61"/>
  <c r="S28" i="61"/>
  <c r="S72" i="61"/>
  <c r="S116" i="61"/>
  <c r="S141" i="61"/>
  <c r="S19" i="61"/>
  <c r="S21" i="61"/>
  <c r="S66" i="61"/>
  <c r="S94" i="61"/>
  <c r="S128" i="61"/>
  <c r="S135" i="61"/>
  <c r="S147" i="61"/>
  <c r="S67" i="61"/>
  <c r="S30" i="61"/>
  <c r="S41" i="61"/>
  <c r="S71" i="61"/>
  <c r="S124" i="61"/>
  <c r="S142" i="61"/>
  <c r="B16" i="79"/>
  <c r="D16" i="79" s="1"/>
  <c r="B15" i="79"/>
  <c r="D15" i="79" s="1"/>
  <c r="D31" i="79"/>
  <c r="E31" i="79" s="1"/>
  <c r="B30" i="79"/>
  <c r="D30" i="79" s="1"/>
  <c r="B32" i="79"/>
  <c r="D32" i="79" s="1"/>
  <c r="B35" i="79"/>
  <c r="D35" i="79" s="1"/>
  <c r="I31" i="79"/>
  <c r="K31" i="79"/>
  <c r="I65" i="84"/>
  <c r="H68" i="84"/>
  <c r="H56" i="84"/>
  <c r="H59" i="84"/>
  <c r="I59" i="84" s="1"/>
  <c r="G68" i="84"/>
  <c r="H70" i="84"/>
  <c r="H75" i="84" s="1"/>
  <c r="H31" i="84"/>
  <c r="I30" i="84"/>
  <c r="I31" i="84" s="1"/>
  <c r="J31" i="84" s="1"/>
  <c r="G31" i="84"/>
  <c r="I33" i="84"/>
  <c r="J33" i="84" s="1"/>
  <c r="H37" i="84"/>
  <c r="H40" i="84" s="1"/>
  <c r="G12" i="84"/>
  <c r="H10" i="84"/>
  <c r="H12" i="84" s="1"/>
  <c r="H17" i="84"/>
  <c r="H20" i="84" s="1"/>
  <c r="H13" i="84"/>
  <c r="H14" i="84" s="1"/>
  <c r="I68" i="84"/>
  <c r="J68" i="84" s="1"/>
  <c r="J65" i="84"/>
  <c r="H62" i="84"/>
  <c r="I34" i="84"/>
  <c r="J34" i="84" s="1"/>
  <c r="I17" i="84"/>
  <c r="I20" i="84" s="1"/>
  <c r="J20" i="84" s="1"/>
  <c r="I13" i="84"/>
  <c r="J13" i="84" s="1"/>
  <c r="G110" i="73"/>
  <c r="G111" i="73" s="1"/>
  <c r="F134" i="73"/>
  <c r="H26" i="75"/>
  <c r="E18" i="75"/>
  <c r="Q167" i="1"/>
  <c r="Q149" i="1"/>
  <c r="Q23" i="1"/>
  <c r="Q17" i="1"/>
  <c r="Q155" i="1"/>
  <c r="Q131" i="1"/>
  <c r="Q72" i="1"/>
  <c r="Q56" i="1"/>
  <c r="Q10" i="1"/>
  <c r="Q71" i="1"/>
  <c r="Q63" i="1"/>
  <c r="Q15" i="1"/>
  <c r="Q174" i="1"/>
  <c r="Q43" i="1"/>
  <c r="Q30" i="1"/>
  <c r="Q12" i="1"/>
  <c r="Q158" i="1"/>
  <c r="Q163" i="1"/>
  <c r="Q122" i="1"/>
  <c r="Q169" i="1"/>
  <c r="Q99" i="1"/>
  <c r="Q97" i="1"/>
  <c r="F48" i="73"/>
  <c r="F54" i="73" s="1"/>
  <c r="F110" i="73"/>
  <c r="F77" i="73"/>
  <c r="F83" i="73" s="1"/>
  <c r="F105" i="73"/>
  <c r="F163" i="73"/>
  <c r="C12" i="68"/>
  <c r="C101" i="68"/>
  <c r="C269" i="68"/>
  <c r="C185" i="68"/>
  <c r="C60" i="68"/>
  <c r="C59" i="68" s="1"/>
  <c r="C105" i="68"/>
  <c r="C114" i="68" s="1"/>
  <c r="C147" i="68"/>
  <c r="C146" i="68" s="1"/>
  <c r="C189" i="68"/>
  <c r="C197" i="68" s="1"/>
  <c r="C231" i="68"/>
  <c r="C230" i="68" s="1"/>
  <c r="C273" i="68"/>
  <c r="C281" i="68" s="1"/>
  <c r="B28" i="79"/>
  <c r="D28" i="79" s="1"/>
  <c r="C113" i="68"/>
  <c r="B27" i="79"/>
  <c r="D27" i="79" s="1"/>
  <c r="E158" i="75"/>
  <c r="C138" i="68"/>
  <c r="E65" i="75"/>
  <c r="D8" i="28"/>
  <c r="F8" i="28" s="1"/>
  <c r="L8" i="28" s="1"/>
  <c r="Q44" i="45"/>
  <c r="C32" i="68"/>
  <c r="D32" i="68"/>
  <c r="D242" i="68"/>
  <c r="C143" i="68"/>
  <c r="C227" i="68"/>
  <c r="G64" i="75"/>
  <c r="H64" i="75" s="1"/>
  <c r="G32" i="75"/>
  <c r="H32" i="75" s="1"/>
  <c r="G96" i="75"/>
  <c r="H96" i="75" s="1"/>
  <c r="F4" i="28"/>
  <c r="F10" i="28"/>
  <c r="D5" i="28"/>
  <c r="F5" i="28" s="1"/>
  <c r="E123" i="75"/>
  <c r="E190" i="75"/>
  <c r="E218" i="75"/>
  <c r="E92" i="75"/>
  <c r="C51" i="68" s="1"/>
  <c r="E153" i="75"/>
  <c r="C135" i="68" s="1"/>
  <c r="E185" i="75"/>
  <c r="E191" i="75" s="1"/>
  <c r="E213" i="75"/>
  <c r="C219" i="68" s="1"/>
  <c r="C96" i="68"/>
  <c r="C222" i="68"/>
  <c r="E128" i="75"/>
  <c r="D262" i="68"/>
  <c r="D136" i="68"/>
  <c r="D220" i="68"/>
  <c r="D94" i="68"/>
  <c r="F11" i="34"/>
  <c r="O7" i="78" s="1"/>
  <c r="C272" i="68"/>
  <c r="AF15" i="76"/>
  <c r="AD15" i="76"/>
  <c r="AF30" i="76"/>
  <c r="AD30" i="76"/>
  <c r="AD113" i="76"/>
  <c r="AF113" i="76"/>
  <c r="M139" i="63"/>
  <c r="L139" i="63"/>
  <c r="C282" i="68"/>
  <c r="O9" i="77"/>
  <c r="Q20" i="46"/>
  <c r="Q118" i="1"/>
  <c r="Q113" i="1"/>
  <c r="Q76" i="1"/>
  <c r="Q37" i="1"/>
  <c r="Q35" i="1"/>
  <c r="T70" i="27"/>
  <c r="T103" i="27"/>
  <c r="T130" i="27"/>
  <c r="T96" i="27"/>
  <c r="T80" i="27"/>
  <c r="M128" i="63"/>
  <c r="Q146" i="61"/>
  <c r="S146" i="61" s="1"/>
  <c r="N58" i="64"/>
  <c r="R58" i="64" s="1"/>
  <c r="S58" i="64" s="1"/>
  <c r="M58" i="64"/>
  <c r="N60" i="64"/>
  <c r="M60" i="64"/>
  <c r="M141" i="63"/>
  <c r="N141" i="63" s="1"/>
  <c r="L141" i="63"/>
  <c r="M120" i="63"/>
  <c r="N120" i="63" s="1"/>
  <c r="L120" i="63"/>
  <c r="M90" i="63"/>
  <c r="L90" i="63"/>
  <c r="M41" i="63"/>
  <c r="N41" i="63" s="1"/>
  <c r="L41" i="63"/>
  <c r="M37" i="63"/>
  <c r="L37" i="63"/>
  <c r="M29" i="63"/>
  <c r="O29" i="63" s="1"/>
  <c r="P29" i="63" s="1"/>
  <c r="L29" i="63"/>
  <c r="L15" i="63"/>
  <c r="Q9" i="1"/>
  <c r="N29" i="64"/>
  <c r="P29" i="64" s="1"/>
  <c r="M29" i="64"/>
  <c r="N43" i="64"/>
  <c r="R43" i="64" s="1"/>
  <c r="S43" i="64" s="1"/>
  <c r="M43" i="64"/>
  <c r="N55" i="64"/>
  <c r="P55" i="64" s="1"/>
  <c r="M55" i="64"/>
  <c r="M95" i="63"/>
  <c r="N95" i="63" s="1"/>
  <c r="L95" i="63"/>
  <c r="Q96" i="45"/>
  <c r="S111" i="50"/>
  <c r="S64" i="50"/>
  <c r="G19" i="10"/>
  <c r="S83" i="50"/>
  <c r="Q172" i="1"/>
  <c r="Q38" i="1"/>
  <c r="T136" i="27"/>
  <c r="S29" i="61"/>
  <c r="N41" i="64"/>
  <c r="M116" i="63"/>
  <c r="N116" i="63" s="1"/>
  <c r="M127" i="63"/>
  <c r="O127" i="63" s="1"/>
  <c r="P127" i="63" s="1"/>
  <c r="L127" i="63"/>
  <c r="M103" i="63"/>
  <c r="O103" i="63" s="1"/>
  <c r="P103" i="63" s="1"/>
  <c r="L103" i="63"/>
  <c r="M101" i="63"/>
  <c r="N101" i="63" s="1"/>
  <c r="L101" i="63"/>
  <c r="AD64" i="76"/>
  <c r="AF64" i="76"/>
  <c r="Q160" i="1"/>
  <c r="Q67" i="1"/>
  <c r="O51" i="50"/>
  <c r="S51" i="50" s="1"/>
  <c r="N127" i="1"/>
  <c r="Q127" i="1" s="1"/>
  <c r="P127" i="50"/>
  <c r="Q127" i="50" s="1"/>
  <c r="S11" i="36"/>
  <c r="V33" i="76"/>
  <c r="AD136" i="76"/>
  <c r="AF136" i="76"/>
  <c r="AD23" i="76"/>
  <c r="L145" i="63"/>
  <c r="L131" i="63"/>
  <c r="L100" i="63"/>
  <c r="L33" i="63"/>
  <c r="S116" i="36"/>
  <c r="S43" i="36"/>
  <c r="O25" i="50"/>
  <c r="R151" i="27"/>
  <c r="S151" i="27" s="1"/>
  <c r="V125" i="76"/>
  <c r="Y125" i="76" s="1"/>
  <c r="V121" i="76"/>
  <c r="Y121" i="76"/>
  <c r="AF99" i="76"/>
  <c r="V97" i="76"/>
  <c r="Y97" i="76" s="1"/>
  <c r="V95" i="76"/>
  <c r="Y95" i="76"/>
  <c r="AF95" i="76" s="1"/>
  <c r="V94" i="76"/>
  <c r="Y94" i="76" s="1"/>
  <c r="AF65" i="76"/>
  <c r="V63" i="76"/>
  <c r="Y63" i="76"/>
  <c r="AF63" i="76" s="1"/>
  <c r="AF55" i="76"/>
  <c r="AF49" i="76"/>
  <c r="V48" i="76"/>
  <c r="Y48" i="76" s="1"/>
  <c r="Q47" i="27"/>
  <c r="T47" i="27" s="1"/>
  <c r="P51" i="36"/>
  <c r="S51" i="36"/>
  <c r="P92" i="36"/>
  <c r="S92" i="36" s="1"/>
  <c r="AD110" i="76"/>
  <c r="AD41" i="76"/>
  <c r="AF41" i="76"/>
  <c r="AD36" i="76"/>
  <c r="AF36" i="76"/>
  <c r="AF26" i="76"/>
  <c r="AD26" i="76"/>
  <c r="S12" i="36"/>
  <c r="O90" i="50"/>
  <c r="N142" i="1"/>
  <c r="P78" i="36"/>
  <c r="S78" i="36" s="1"/>
  <c r="Q87" i="45"/>
  <c r="AF76" i="76"/>
  <c r="AD76" i="76"/>
  <c r="N41" i="1"/>
  <c r="Q41" i="1" s="1"/>
  <c r="N100" i="1"/>
  <c r="Q100" i="1" s="1"/>
  <c r="Q48" i="46"/>
  <c r="AF85" i="76"/>
  <c r="AF38" i="76"/>
  <c r="G56" i="84"/>
  <c r="O139" i="63"/>
  <c r="P139" i="63" s="1"/>
  <c r="N139" i="63"/>
  <c r="Y33" i="76"/>
  <c r="AF33" i="76" s="1"/>
  <c r="O101" i="63"/>
  <c r="P101" i="63"/>
  <c r="P41" i="64"/>
  <c r="R41" i="64"/>
  <c r="S41" i="64" s="1"/>
  <c r="R55" i="64"/>
  <c r="S55" i="64" s="1"/>
  <c r="R29" i="64"/>
  <c r="S29" i="64" s="1"/>
  <c r="O141" i="63"/>
  <c r="P141" i="63" s="1"/>
  <c r="P58" i="64"/>
  <c r="O116" i="63"/>
  <c r="P116" i="63" s="1"/>
  <c r="N128" i="63"/>
  <c r="O128" i="63"/>
  <c r="P128" i="63" s="1"/>
  <c r="N103" i="63"/>
  <c r="O95" i="63"/>
  <c r="P95" i="63" s="1"/>
  <c r="P43" i="64"/>
  <c r="O37" i="63"/>
  <c r="P37" i="63" s="1"/>
  <c r="N37" i="63"/>
  <c r="N90" i="63"/>
  <c r="O90" i="63"/>
  <c r="P90" i="63" s="1"/>
  <c r="R60" i="64"/>
  <c r="S60" i="64" s="1"/>
  <c r="P60" i="64"/>
  <c r="J59" i="84" l="1"/>
  <c r="I62" i="84"/>
  <c r="J62" i="84" s="1"/>
  <c r="D217" i="73"/>
  <c r="F217" i="73" s="1"/>
  <c r="F231" i="73" s="1"/>
  <c r="F237" i="73" s="1"/>
  <c r="D102" i="73"/>
  <c r="F102" i="73" s="1"/>
  <c r="D13" i="73"/>
  <c r="F13" i="73" s="1"/>
  <c r="F19" i="73" s="1"/>
  <c r="D131" i="73"/>
  <c r="F131" i="73" s="1"/>
  <c r="D156" i="73"/>
  <c r="F156" i="73" s="1"/>
  <c r="D187" i="73"/>
  <c r="F187" i="73" s="1"/>
  <c r="F193" i="73" s="1"/>
  <c r="F199" i="73" s="1"/>
  <c r="F200" i="73" s="1"/>
  <c r="D42" i="73"/>
  <c r="F42" i="73" s="1"/>
  <c r="AF48" i="76"/>
  <c r="AD48" i="76"/>
  <c r="AF139" i="76"/>
  <c r="AD139" i="76"/>
  <c r="AE139" i="76" s="1"/>
  <c r="Q142" i="1"/>
  <c r="O27" i="63"/>
  <c r="P27" i="63" s="1"/>
  <c r="N29" i="63"/>
  <c r="AD63" i="76"/>
  <c r="R52" i="64"/>
  <c r="S52" i="64" s="1"/>
  <c r="N130" i="63"/>
  <c r="R62" i="64"/>
  <c r="S62" i="64" s="1"/>
  <c r="P22" i="64"/>
  <c r="N18" i="63"/>
  <c r="AD135" i="76"/>
  <c r="O64" i="63"/>
  <c r="P64" i="63" s="1"/>
  <c r="O60" i="63"/>
  <c r="P60" i="63" s="1"/>
  <c r="O70" i="63"/>
  <c r="P70" i="63" s="1"/>
  <c r="Q148" i="1"/>
  <c r="AF24" i="76"/>
  <c r="AD24" i="76"/>
  <c r="N67" i="63"/>
  <c r="O67" i="63"/>
  <c r="P67" i="63" s="1"/>
  <c r="O10" i="57"/>
  <c r="C239" i="68"/>
  <c r="I70" i="84"/>
  <c r="H48" i="84"/>
  <c r="O105" i="63"/>
  <c r="P105" i="63" s="1"/>
  <c r="N105" i="63"/>
  <c r="P51" i="64"/>
  <c r="R51" i="64"/>
  <c r="S51" i="64" s="1"/>
  <c r="N129" i="63"/>
  <c r="O129" i="63"/>
  <c r="P129" i="63" s="1"/>
  <c r="P25" i="64"/>
  <c r="R25" i="64"/>
  <c r="S25" i="64" s="1"/>
  <c r="O72" i="63"/>
  <c r="P72" i="63" s="1"/>
  <c r="O76" i="63"/>
  <c r="P76" i="63" s="1"/>
  <c r="N76" i="63"/>
  <c r="G25" i="73"/>
  <c r="O92" i="63"/>
  <c r="P92" i="63" s="1"/>
  <c r="N92" i="63"/>
  <c r="Q58" i="46"/>
  <c r="O19" i="50"/>
  <c r="O127" i="50" s="1"/>
  <c r="M133" i="50"/>
  <c r="S59" i="50"/>
  <c r="O108" i="63"/>
  <c r="P108" i="63" s="1"/>
  <c r="N108" i="63"/>
  <c r="H8" i="84"/>
  <c r="N53" i="63"/>
  <c r="AD12" i="76"/>
  <c r="AE12" i="76" s="1"/>
  <c r="AE13" i="76" s="1"/>
  <c r="P50" i="64"/>
  <c r="R50" i="64"/>
  <c r="S50" i="64" s="1"/>
  <c r="P48" i="64"/>
  <c r="R48" i="64"/>
  <c r="S48" i="64" s="1"/>
  <c r="S53" i="50"/>
  <c r="S42" i="50"/>
  <c r="Q106" i="1"/>
  <c r="Q72" i="45"/>
  <c r="S89" i="50"/>
  <c r="S65" i="50"/>
  <c r="S49" i="50"/>
  <c r="S45" i="50"/>
  <c r="S38" i="50"/>
  <c r="S23" i="50"/>
  <c r="S13" i="50"/>
  <c r="Q170" i="46"/>
  <c r="Q135" i="46"/>
  <c r="Q69" i="46"/>
  <c r="Q62" i="46"/>
  <c r="S99" i="50"/>
  <c r="S39" i="50"/>
  <c r="S18" i="50"/>
  <c r="Q94" i="45"/>
  <c r="Q137" i="1"/>
  <c r="Q107" i="1"/>
  <c r="Q104" i="1"/>
  <c r="Q89" i="1"/>
  <c r="Q88" i="1"/>
  <c r="Q59" i="1"/>
  <c r="Q46" i="1"/>
  <c r="Q18" i="1"/>
  <c r="Q14" i="1"/>
  <c r="Q13" i="1"/>
  <c r="S22" i="50"/>
  <c r="T17" i="27"/>
  <c r="T21" i="27"/>
  <c r="T29" i="27"/>
  <c r="T65" i="27"/>
  <c r="T73" i="27"/>
  <c r="T91" i="27"/>
  <c r="T114" i="27"/>
  <c r="T129" i="27"/>
  <c r="T142" i="27"/>
  <c r="L174" i="46"/>
  <c r="Q66" i="1"/>
  <c r="F7" i="28"/>
  <c r="L7" i="28" s="1"/>
  <c r="Q92" i="45"/>
  <c r="Q77" i="45"/>
  <c r="Q74" i="45"/>
  <c r="S104" i="50"/>
  <c r="S87" i="50"/>
  <c r="S44" i="50"/>
  <c r="S56" i="50"/>
  <c r="S29" i="50"/>
  <c r="S33" i="50"/>
  <c r="S116" i="50"/>
  <c r="S62" i="50"/>
  <c r="S54" i="50"/>
  <c r="Q55" i="45"/>
  <c r="Q43" i="45"/>
  <c r="Q33" i="45"/>
  <c r="Q162" i="1"/>
  <c r="Q146" i="1"/>
  <c r="Q144" i="1"/>
  <c r="Q141" i="1"/>
  <c r="Q135" i="1"/>
  <c r="Q121" i="1"/>
  <c r="Q114" i="1"/>
  <c r="Q109" i="1"/>
  <c r="T36" i="27"/>
  <c r="T78" i="27"/>
  <c r="Q18" i="46"/>
  <c r="S101" i="50"/>
  <c r="T51" i="27"/>
  <c r="T104" i="27"/>
  <c r="T84" i="27"/>
  <c r="M134" i="63"/>
  <c r="O155" i="27"/>
  <c r="T40" i="27"/>
  <c r="T30" i="27"/>
  <c r="S10" i="61"/>
  <c r="S12" i="61"/>
  <c r="S20" i="61"/>
  <c r="S51" i="61"/>
  <c r="S74" i="61"/>
  <c r="S84" i="61"/>
  <c r="S145" i="61"/>
  <c r="M97" i="63"/>
  <c r="S110" i="36"/>
  <c r="S25" i="36"/>
  <c r="S40" i="36"/>
  <c r="S23" i="36"/>
  <c r="V132" i="76"/>
  <c r="Y132" i="76" s="1"/>
  <c r="V32" i="76"/>
  <c r="Y32" i="76" s="1"/>
  <c r="H79" i="75"/>
  <c r="S114" i="36"/>
  <c r="Q60" i="45"/>
  <c r="S125" i="36"/>
  <c r="S95" i="36"/>
  <c r="S84" i="36"/>
  <c r="S79" i="36"/>
  <c r="Z140" i="76"/>
  <c r="AF124" i="76"/>
  <c r="V122" i="76"/>
  <c r="Y122" i="76" s="1"/>
  <c r="AD106" i="76"/>
  <c r="V100" i="76"/>
  <c r="Y100" i="76" s="1"/>
  <c r="AF100" i="76" s="1"/>
  <c r="V87" i="76"/>
  <c r="Y87" i="76" s="1"/>
  <c r="V86" i="76"/>
  <c r="Y86" i="76" s="1"/>
  <c r="V82" i="76"/>
  <c r="Y82" i="76" s="1"/>
  <c r="AF82" i="76" s="1"/>
  <c r="V77" i="76"/>
  <c r="Y77" i="76" s="1"/>
  <c r="AD77" i="76" s="1"/>
  <c r="V61" i="76"/>
  <c r="Y61" i="76" s="1"/>
  <c r="V60" i="76"/>
  <c r="Y60" i="76" s="1"/>
  <c r="AF59" i="76"/>
  <c r="V57" i="76"/>
  <c r="Y57" i="76" s="1"/>
  <c r="AF57" i="76" s="1"/>
  <c r="V54" i="76"/>
  <c r="Y54" i="76" s="1"/>
  <c r="AD45" i="76"/>
  <c r="AD40" i="76"/>
  <c r="V29" i="76"/>
  <c r="Y29" i="76" s="1"/>
  <c r="AD29" i="76" s="1"/>
  <c r="AD20" i="76"/>
  <c r="S33" i="61"/>
  <c r="O47" i="61"/>
  <c r="O150" i="61" s="1"/>
  <c r="H30" i="75"/>
  <c r="H33" i="75" s="1"/>
  <c r="T87" i="27"/>
  <c r="T134" i="27"/>
  <c r="T139" i="27"/>
  <c r="T148" i="27"/>
  <c r="T75" i="27"/>
  <c r="T31" i="27"/>
  <c r="T15" i="27"/>
  <c r="S11" i="61"/>
  <c r="S24" i="61"/>
  <c r="S48" i="61"/>
  <c r="S50" i="61"/>
  <c r="S69" i="61"/>
  <c r="S98" i="61"/>
  <c r="S105" i="61"/>
  <c r="S107" i="61"/>
  <c r="S109" i="61"/>
  <c r="S111" i="61"/>
  <c r="S115" i="61"/>
  <c r="S117" i="61"/>
  <c r="S129" i="61"/>
  <c r="G24" i="73"/>
  <c r="G139" i="73"/>
  <c r="G140" i="73" s="1"/>
  <c r="G193" i="73"/>
  <c r="G231" i="73"/>
  <c r="F236" i="73"/>
  <c r="M146" i="63"/>
  <c r="M133" i="63"/>
  <c r="N133" i="63" s="1"/>
  <c r="M126" i="63"/>
  <c r="M123" i="63"/>
  <c r="M106" i="63"/>
  <c r="M84" i="63"/>
  <c r="N84" i="63" s="1"/>
  <c r="M46" i="63"/>
  <c r="M30" i="63"/>
  <c r="M26" i="63"/>
  <c r="M24" i="63"/>
  <c r="N24" i="63" s="1"/>
  <c r="M19" i="63"/>
  <c r="O19" i="63" s="1"/>
  <c r="P19" i="63" s="1"/>
  <c r="M15" i="63"/>
  <c r="Q38" i="45"/>
  <c r="S37" i="36"/>
  <c r="S124" i="36"/>
  <c r="S82" i="36"/>
  <c r="V105" i="76"/>
  <c r="Y105" i="76" s="1"/>
  <c r="U71" i="76"/>
  <c r="U25" i="76"/>
  <c r="K25" i="85"/>
  <c r="T145" i="27"/>
  <c r="M111" i="63"/>
  <c r="M88" i="63"/>
  <c r="V75" i="76"/>
  <c r="Y75" i="76" s="1"/>
  <c r="AD75" i="76" s="1"/>
  <c r="F73" i="34"/>
  <c r="O11" i="77" s="1"/>
  <c r="O10" i="77"/>
  <c r="O10" i="78"/>
  <c r="H172" i="75"/>
  <c r="H10" i="75"/>
  <c r="AF60" i="76"/>
  <c r="AD60" i="76"/>
  <c r="AD54" i="76"/>
  <c r="AF54" i="76"/>
  <c r="N146" i="63"/>
  <c r="O146" i="63"/>
  <c r="P146" i="63" s="1"/>
  <c r="N30" i="63"/>
  <c r="O30" i="63"/>
  <c r="P30" i="63" s="1"/>
  <c r="N26" i="63"/>
  <c r="O26" i="63"/>
  <c r="P26" i="63" s="1"/>
  <c r="N22" i="63"/>
  <c r="O22" i="63"/>
  <c r="P22" i="63" s="1"/>
  <c r="N15" i="63"/>
  <c r="O15" i="63"/>
  <c r="P15" i="63" s="1"/>
  <c r="AF66" i="76"/>
  <c r="AD66" i="76"/>
  <c r="AD100" i="76"/>
  <c r="AD70" i="76"/>
  <c r="N147" i="63"/>
  <c r="O147" i="63"/>
  <c r="P147" i="63" s="1"/>
  <c r="O133" i="63"/>
  <c r="P133" i="63" s="1"/>
  <c r="O84" i="63"/>
  <c r="P84" i="63" s="1"/>
  <c r="O24" i="63"/>
  <c r="P24" i="63" s="1"/>
  <c r="N19" i="63"/>
  <c r="E35" i="79"/>
  <c r="I35" i="79"/>
  <c r="K35" i="79" s="1"/>
  <c r="AF74" i="76"/>
  <c r="AD74" i="76"/>
  <c r="AF70" i="76"/>
  <c r="O5" i="77"/>
  <c r="I14" i="84"/>
  <c r="J14" i="84" s="1"/>
  <c r="O5" i="57"/>
  <c r="AD124" i="76"/>
  <c r="O113" i="45"/>
  <c r="P113" i="45" s="1"/>
  <c r="P40" i="64"/>
  <c r="AD39" i="76"/>
  <c r="R13" i="64"/>
  <c r="S13" i="64" s="1"/>
  <c r="P32" i="64"/>
  <c r="O69" i="63"/>
  <c r="P69" i="63" s="1"/>
  <c r="S73" i="36"/>
  <c r="M85" i="63"/>
  <c r="L22" i="63"/>
  <c r="N131" i="63"/>
  <c r="O114" i="63"/>
  <c r="P114" i="63" s="1"/>
  <c r="R66" i="64"/>
  <c r="S66" i="64" s="1"/>
  <c r="N78" i="63"/>
  <c r="R54" i="64"/>
  <c r="S54" i="64" s="1"/>
  <c r="M102" i="63"/>
  <c r="L106" i="63"/>
  <c r="Q52" i="1"/>
  <c r="Q28" i="1"/>
  <c r="Q19" i="1"/>
  <c r="T57" i="27"/>
  <c r="T128" i="27"/>
  <c r="O15" i="61"/>
  <c r="S15" i="61" s="1"/>
  <c r="M157" i="61"/>
  <c r="G48" i="84"/>
  <c r="S111" i="36"/>
  <c r="N123" i="63"/>
  <c r="O123" i="63"/>
  <c r="P123" i="63" s="1"/>
  <c r="R107" i="50"/>
  <c r="Q107" i="50"/>
  <c r="Q84" i="50"/>
  <c r="R84" i="50"/>
  <c r="S84" i="50" s="1"/>
  <c r="R73" i="50"/>
  <c r="Q73" i="50"/>
  <c r="Q47" i="50"/>
  <c r="R47" i="50"/>
  <c r="S47" i="50" s="1"/>
  <c r="R37" i="50"/>
  <c r="Q37" i="50"/>
  <c r="Q25" i="50"/>
  <c r="R25" i="50"/>
  <c r="Q19" i="50"/>
  <c r="R19" i="50"/>
  <c r="Q11" i="50"/>
  <c r="R11" i="50"/>
  <c r="AD33" i="76"/>
  <c r="O120" i="63"/>
  <c r="P120" i="63" s="1"/>
  <c r="Q52" i="27"/>
  <c r="AF68" i="76"/>
  <c r="F111" i="73"/>
  <c r="O177" i="1"/>
  <c r="P177" i="1" s="1"/>
  <c r="I10" i="84"/>
  <c r="I12" i="84" s="1"/>
  <c r="N50" i="63"/>
  <c r="N150" i="63"/>
  <c r="N49" i="63"/>
  <c r="R26" i="64"/>
  <c r="S26" i="64" s="1"/>
  <c r="O79" i="63"/>
  <c r="P79" i="63" s="1"/>
  <c r="O87" i="63"/>
  <c r="P87" i="63" s="1"/>
  <c r="AF40" i="76"/>
  <c r="L24" i="63"/>
  <c r="O124" i="63"/>
  <c r="P124" i="63" s="1"/>
  <c r="S121" i="36"/>
  <c r="R68" i="50"/>
  <c r="S68" i="50" s="1"/>
  <c r="R63" i="50"/>
  <c r="S63" i="50" s="1"/>
  <c r="R15" i="50"/>
  <c r="S15" i="50" s="1"/>
  <c r="Q124" i="1"/>
  <c r="Q112" i="50"/>
  <c r="Q78" i="50"/>
  <c r="S78" i="50" s="1"/>
  <c r="S25" i="50"/>
  <c r="S11" i="50"/>
  <c r="L104" i="63"/>
  <c r="M104" i="63"/>
  <c r="Q95" i="50"/>
  <c r="R95" i="50"/>
  <c r="S95" i="50" s="1"/>
  <c r="Q57" i="50"/>
  <c r="R57" i="50"/>
  <c r="Q52" i="50"/>
  <c r="R52" i="50"/>
  <c r="S52" i="50" s="1"/>
  <c r="Q43" i="50"/>
  <c r="R43" i="50"/>
  <c r="Q31" i="50"/>
  <c r="R31" i="50"/>
  <c r="S31" i="50" s="1"/>
  <c r="P150" i="61"/>
  <c r="Q150" i="61" s="1"/>
  <c r="N127" i="63"/>
  <c r="O41" i="63"/>
  <c r="P41" i="63" s="1"/>
  <c r="AD59" i="76"/>
  <c r="H28" i="84"/>
  <c r="P16" i="27"/>
  <c r="Q16" i="27" s="1"/>
  <c r="T16" i="27" s="1"/>
  <c r="AF29" i="76"/>
  <c r="AD17" i="76"/>
  <c r="Q128" i="36"/>
  <c r="R128" i="36" s="1"/>
  <c r="S112" i="50"/>
  <c r="S43" i="50"/>
  <c r="R102" i="50"/>
  <c r="Q62" i="1"/>
  <c r="Q124" i="50"/>
  <c r="S124" i="50" s="1"/>
  <c r="Q90" i="50"/>
  <c r="S90" i="50" s="1"/>
  <c r="T46" i="27"/>
  <c r="T63" i="27"/>
  <c r="T67" i="27"/>
  <c r="T71" i="27"/>
  <c r="T98" i="27"/>
  <c r="T146" i="27"/>
  <c r="S75" i="61"/>
  <c r="S127" i="61"/>
  <c r="Q80" i="45"/>
  <c r="Q40" i="45"/>
  <c r="S125" i="50"/>
  <c r="S115" i="50"/>
  <c r="S105" i="50"/>
  <c r="S91" i="50"/>
  <c r="S82" i="50"/>
  <c r="S72" i="50"/>
  <c r="S69" i="50"/>
  <c r="S34" i="50"/>
  <c r="S14" i="50"/>
  <c r="Q144" i="46"/>
  <c r="Q72" i="46"/>
  <c r="S106" i="50"/>
  <c r="Q116" i="1"/>
  <c r="T58" i="27"/>
  <c r="T100" i="27"/>
  <c r="T117" i="27"/>
  <c r="T122" i="27"/>
  <c r="T126" i="27"/>
  <c r="T131" i="27"/>
  <c r="T147" i="27"/>
  <c r="T88" i="27"/>
  <c r="T74" i="27"/>
  <c r="S54" i="61"/>
  <c r="S58" i="61"/>
  <c r="S65" i="61"/>
  <c r="S73" i="61"/>
  <c r="S103" i="61"/>
  <c r="N42" i="64"/>
  <c r="M100" i="63"/>
  <c r="S98" i="50"/>
  <c r="S94" i="50"/>
  <c r="S102" i="50"/>
  <c r="S97" i="50"/>
  <c r="Q170" i="1"/>
  <c r="Q164" i="1"/>
  <c r="Q152" i="1"/>
  <c r="Q95" i="1"/>
  <c r="T12" i="27"/>
  <c r="T59" i="27"/>
  <c r="T140" i="27"/>
  <c r="S13" i="61"/>
  <c r="F139" i="73"/>
  <c r="F140" i="73" s="1"/>
  <c r="J136" i="73"/>
  <c r="M51" i="63"/>
  <c r="Q95" i="45"/>
  <c r="Q89" i="45"/>
  <c r="Q75" i="45"/>
  <c r="S118" i="50"/>
  <c r="S113" i="50"/>
  <c r="S108" i="50"/>
  <c r="S96" i="50"/>
  <c r="S76" i="50"/>
  <c r="S70" i="50"/>
  <c r="S26" i="50"/>
  <c r="S75" i="50"/>
  <c r="S122" i="50"/>
  <c r="S88" i="50"/>
  <c r="S80" i="50"/>
  <c r="S66" i="50"/>
  <c r="Q111" i="1"/>
  <c r="Q84" i="1"/>
  <c r="Q80" i="1"/>
  <c r="Q58" i="1"/>
  <c r="Q22" i="1"/>
  <c r="Q11" i="1"/>
  <c r="T20" i="27"/>
  <c r="T24" i="27"/>
  <c r="T41" i="27"/>
  <c r="T86" i="27"/>
  <c r="T106" i="27"/>
  <c r="T124" i="27"/>
  <c r="Q144" i="27"/>
  <c r="T144" i="27" s="1"/>
  <c r="T116" i="27"/>
  <c r="T112" i="27"/>
  <c r="T25" i="27"/>
  <c r="S34" i="61"/>
  <c r="S44" i="61"/>
  <c r="S47" i="61"/>
  <c r="S96" i="61"/>
  <c r="S100" i="61"/>
  <c r="S102" i="61"/>
  <c r="S104" i="61"/>
  <c r="S106" i="61"/>
  <c r="S110" i="61"/>
  <c r="S112" i="61"/>
  <c r="S120" i="61"/>
  <c r="S132" i="61"/>
  <c r="S134" i="61"/>
  <c r="S136" i="61"/>
  <c r="N39" i="64"/>
  <c r="N59" i="64"/>
  <c r="N67" i="64"/>
  <c r="F24" i="73"/>
  <c r="F25" i="73" s="1"/>
  <c r="J21" i="73"/>
  <c r="J24" i="73" s="1"/>
  <c r="F168" i="73"/>
  <c r="F169" i="73" s="1"/>
  <c r="J165" i="73"/>
  <c r="J168" i="73" s="1"/>
  <c r="M99" i="63"/>
  <c r="S33" i="36"/>
  <c r="M119" i="63"/>
  <c r="M33" i="63"/>
  <c r="M21" i="63"/>
  <c r="S63" i="36"/>
  <c r="S57" i="36"/>
  <c r="S48" i="36"/>
  <c r="S18" i="36"/>
  <c r="N28" i="64"/>
  <c r="N36" i="64"/>
  <c r="I10" i="28"/>
  <c r="K10" i="28" s="1"/>
  <c r="J53" i="73"/>
  <c r="G53" i="73"/>
  <c r="G54" i="73" s="1"/>
  <c r="M115" i="63"/>
  <c r="M107" i="63"/>
  <c r="M94" i="63"/>
  <c r="M52" i="63"/>
  <c r="S91" i="36"/>
  <c r="S65" i="36"/>
  <c r="S69" i="36"/>
  <c r="AD65" i="76"/>
  <c r="U32" i="76"/>
  <c r="S149" i="61"/>
  <c r="N19" i="64"/>
  <c r="N21" i="64"/>
  <c r="G82" i="73"/>
  <c r="M73" i="63"/>
  <c r="M59" i="63"/>
  <c r="S108" i="36"/>
  <c r="S102" i="36"/>
  <c r="S49" i="36"/>
  <c r="S98" i="36"/>
  <c r="V88" i="76"/>
  <c r="Y88" i="76" s="1"/>
  <c r="U78" i="76"/>
  <c r="AF45" i="76"/>
  <c r="U91" i="76"/>
  <c r="AF91" i="76" s="1"/>
  <c r="V80" i="76"/>
  <c r="Y80" i="76" s="1"/>
  <c r="V67" i="76"/>
  <c r="Y67" i="76" s="1"/>
  <c r="V58" i="76"/>
  <c r="Y58" i="76" s="1"/>
  <c r="AD58" i="76" s="1"/>
  <c r="U57" i="76"/>
  <c r="AD57" i="76" s="1"/>
  <c r="V22" i="76"/>
  <c r="Y22" i="76" s="1"/>
  <c r="AD22" i="76" s="1"/>
  <c r="V14" i="76"/>
  <c r="Y14" i="76" s="1"/>
  <c r="U132" i="76"/>
  <c r="U134" i="76"/>
  <c r="U125" i="76"/>
  <c r="AF125" i="76" s="1"/>
  <c r="U88" i="76"/>
  <c r="D34" i="79"/>
  <c r="E28" i="84"/>
  <c r="K8" i="85"/>
  <c r="K12" i="85"/>
  <c r="K22" i="85"/>
  <c r="K26" i="85"/>
  <c r="V126" i="76"/>
  <c r="Y126" i="76" s="1"/>
  <c r="U116" i="76"/>
  <c r="V112" i="76"/>
  <c r="Y112" i="76" s="1"/>
  <c r="AF112" i="76" s="1"/>
  <c r="V53" i="76"/>
  <c r="Y53" i="76" s="1"/>
  <c r="AF43" i="76"/>
  <c r="V25" i="76"/>
  <c r="Y25" i="76" s="1"/>
  <c r="AF20" i="76"/>
  <c r="U119" i="76"/>
  <c r="G20" i="84"/>
  <c r="G8" i="84" s="1"/>
  <c r="G62" i="84"/>
  <c r="G75" i="84"/>
  <c r="F34" i="87"/>
  <c r="F53" i="87"/>
  <c r="E8" i="84"/>
  <c r="G34" i="84"/>
  <c r="G28" i="84" s="1"/>
  <c r="K10" i="85"/>
  <c r="K14" i="85"/>
  <c r="K24" i="85"/>
  <c r="V134" i="76"/>
  <c r="Y134" i="76" s="1"/>
  <c r="U114" i="76"/>
  <c r="AD114" i="76" s="1"/>
  <c r="V102" i="76"/>
  <c r="Y102" i="76" s="1"/>
  <c r="V101" i="76"/>
  <c r="Y101" i="76" s="1"/>
  <c r="V50" i="76"/>
  <c r="Y50" i="76" s="1"/>
  <c r="V44" i="76"/>
  <c r="Y44" i="76" s="1"/>
  <c r="V19" i="76"/>
  <c r="Y19" i="76" s="1"/>
  <c r="AD19" i="76" s="1"/>
  <c r="E20" i="75"/>
  <c r="E22" i="75"/>
  <c r="E97" i="75"/>
  <c r="E98" i="75" s="1"/>
  <c r="H151" i="75"/>
  <c r="H142" i="75"/>
  <c r="E159" i="75"/>
  <c r="H121" i="75"/>
  <c r="H123" i="75" s="1"/>
  <c r="D177" i="68" s="1"/>
  <c r="H211" i="75"/>
  <c r="H213" i="75" s="1"/>
  <c r="D219" i="68" s="1"/>
  <c r="E9" i="75"/>
  <c r="E21" i="75"/>
  <c r="E33" i="75"/>
  <c r="C263" i="68"/>
  <c r="H90" i="75"/>
  <c r="H92" i="75" s="1"/>
  <c r="C50" i="68"/>
  <c r="C68" i="68" s="1"/>
  <c r="H58" i="75"/>
  <c r="H60" i="75" s="1"/>
  <c r="E219" i="75"/>
  <c r="H183" i="75"/>
  <c r="H185" i="75" s="1"/>
  <c r="H25" i="75"/>
  <c r="C93" i="68"/>
  <c r="C92" i="68" s="1"/>
  <c r="E129" i="75"/>
  <c r="C156" i="68"/>
  <c r="C72" i="68"/>
  <c r="C155" i="68"/>
  <c r="C71" i="68"/>
  <c r="C29" i="68"/>
  <c r="C20" i="68"/>
  <c r="C30" i="68"/>
  <c r="C134" i="68"/>
  <c r="C152" i="68" s="1"/>
  <c r="C236" i="68"/>
  <c r="AD103" i="76"/>
  <c r="AF103" i="76"/>
  <c r="I30" i="79"/>
  <c r="K30" i="79" s="1"/>
  <c r="E30" i="79"/>
  <c r="E16" i="79"/>
  <c r="I16" i="79"/>
  <c r="K16" i="79" s="1"/>
  <c r="AD107" i="76"/>
  <c r="AF107" i="76"/>
  <c r="AD69" i="76"/>
  <c r="AF69" i="76"/>
  <c r="AF79" i="76"/>
  <c r="AD79" i="76"/>
  <c r="AF46" i="76"/>
  <c r="AD46" i="76"/>
  <c r="AD127" i="76"/>
  <c r="AF127" i="76"/>
  <c r="AF94" i="76"/>
  <c r="AD94" i="76"/>
  <c r="I28" i="79"/>
  <c r="K28" i="79" s="1"/>
  <c r="E28" i="79"/>
  <c r="E15" i="79"/>
  <c r="I15" i="79"/>
  <c r="K15" i="79" s="1"/>
  <c r="AD34" i="76"/>
  <c r="AF34" i="76"/>
  <c r="AF81" i="76"/>
  <c r="AD81" i="76"/>
  <c r="I32" i="79"/>
  <c r="K32" i="79" s="1"/>
  <c r="E32" i="79"/>
  <c r="AD131" i="76"/>
  <c r="AF131" i="76"/>
  <c r="AF61" i="76"/>
  <c r="AD61" i="76"/>
  <c r="AD97" i="76"/>
  <c r="AF97" i="76"/>
  <c r="AD91" i="76"/>
  <c r="AD87" i="76"/>
  <c r="AF87" i="76"/>
  <c r="AF117" i="76"/>
  <c r="AD117" i="76"/>
  <c r="AD95" i="76"/>
  <c r="N177" i="1"/>
  <c r="C198" i="68"/>
  <c r="C177" i="68"/>
  <c r="C176" i="68" s="1"/>
  <c r="C240" i="68"/>
  <c r="C188" i="68"/>
  <c r="C104" i="68"/>
  <c r="N8" i="64"/>
  <c r="M8" i="64"/>
  <c r="O7" i="77"/>
  <c r="G23" i="34"/>
  <c r="G26" i="34" s="1"/>
  <c r="D55" i="68" s="1"/>
  <c r="I37" i="84"/>
  <c r="AF17" i="76"/>
  <c r="Q87" i="1"/>
  <c r="Q78" i="1"/>
  <c r="Q51" i="1"/>
  <c r="N53" i="64"/>
  <c r="M16" i="64"/>
  <c r="N16" i="64"/>
  <c r="M33" i="64"/>
  <c r="N33" i="64"/>
  <c r="S30" i="50"/>
  <c r="Q93" i="1"/>
  <c r="Q85" i="1"/>
  <c r="Q64" i="1"/>
  <c r="N7" i="64"/>
  <c r="N11" i="64"/>
  <c r="N18" i="64"/>
  <c r="N20" i="64"/>
  <c r="G77" i="73"/>
  <c r="S68" i="36"/>
  <c r="M10" i="64"/>
  <c r="N10" i="64"/>
  <c r="Q50" i="1"/>
  <c r="L10" i="28"/>
  <c r="J139" i="73"/>
  <c r="G198" i="73"/>
  <c r="L11" i="63"/>
  <c r="M11" i="63"/>
  <c r="Q17" i="45"/>
  <c r="Q20" i="1"/>
  <c r="T138" i="27"/>
  <c r="S40" i="61"/>
  <c r="S56" i="61"/>
  <c r="O175" i="46"/>
  <c r="T97" i="27"/>
  <c r="S119" i="36"/>
  <c r="L96" i="63"/>
  <c r="M96" i="63"/>
  <c r="AD130" i="76"/>
  <c r="AF130" i="76"/>
  <c r="S67" i="50"/>
  <c r="S9" i="50"/>
  <c r="S27" i="50"/>
  <c r="S20" i="50"/>
  <c r="T120" i="27"/>
  <c r="T109" i="27"/>
  <c r="T53" i="27"/>
  <c r="T32" i="27"/>
  <c r="S49" i="61"/>
  <c r="S62" i="61"/>
  <c r="S64" i="61"/>
  <c r="S79" i="61"/>
  <c r="S114" i="61"/>
  <c r="L126" i="63"/>
  <c r="M122" i="63"/>
  <c r="M118" i="63"/>
  <c r="L115" i="63"/>
  <c r="M75" i="63"/>
  <c r="M56" i="63"/>
  <c r="M45" i="63"/>
  <c r="M40" i="63"/>
  <c r="V133" i="76"/>
  <c r="Y133" i="76" s="1"/>
  <c r="AF133" i="76" s="1"/>
  <c r="V104" i="76"/>
  <c r="Y104" i="76" s="1"/>
  <c r="AD99" i="76"/>
  <c r="V56" i="76"/>
  <c r="Y56" i="76" s="1"/>
  <c r="AD55" i="76"/>
  <c r="AF52" i="76"/>
  <c r="AD93" i="76"/>
  <c r="AF93" i="76"/>
  <c r="Q93" i="45"/>
  <c r="S24" i="50"/>
  <c r="Q156" i="1"/>
  <c r="Q133" i="1"/>
  <c r="Q129" i="1"/>
  <c r="Q74" i="1"/>
  <c r="Q47" i="1"/>
  <c r="Q45" i="1"/>
  <c r="Q33" i="1"/>
  <c r="Q32" i="1"/>
  <c r="T89" i="27"/>
  <c r="T48" i="27"/>
  <c r="S32" i="61"/>
  <c r="S39" i="61"/>
  <c r="S53" i="61"/>
  <c r="S68" i="61"/>
  <c r="S70" i="61"/>
  <c r="S76" i="61"/>
  <c r="S131" i="61"/>
  <c r="I5" i="28"/>
  <c r="K5" i="28" s="1"/>
  <c r="L5" i="28" s="1"/>
  <c r="M112" i="63"/>
  <c r="V129" i="76"/>
  <c r="Y129" i="76" s="1"/>
  <c r="AF123" i="76"/>
  <c r="V116" i="76"/>
  <c r="Y116" i="76" s="1"/>
  <c r="AD116" i="76" s="1"/>
  <c r="V115" i="76"/>
  <c r="Y115" i="76" s="1"/>
  <c r="V111" i="76"/>
  <c r="Y111" i="76" s="1"/>
  <c r="AF111" i="76" s="1"/>
  <c r="V108" i="76"/>
  <c r="Y108" i="76" s="1"/>
  <c r="V89" i="76"/>
  <c r="Y89" i="76" s="1"/>
  <c r="AD89" i="76" s="1"/>
  <c r="V83" i="76"/>
  <c r="Y83" i="76" s="1"/>
  <c r="AF75" i="76"/>
  <c r="V73" i="76"/>
  <c r="Y73" i="76" s="1"/>
  <c r="AF47" i="76"/>
  <c r="V42" i="76"/>
  <c r="Y42" i="76" s="1"/>
  <c r="AF42" i="76" s="1"/>
  <c r="V21" i="76"/>
  <c r="I56" i="84"/>
  <c r="M113" i="63"/>
  <c r="L113" i="63"/>
  <c r="M47" i="63"/>
  <c r="L47" i="63"/>
  <c r="L25" i="63"/>
  <c r="M25" i="63"/>
  <c r="Q66" i="45"/>
  <c r="Q26" i="1"/>
  <c r="T143" i="27"/>
  <c r="T99" i="27"/>
  <c r="T38" i="27"/>
  <c r="T34" i="27"/>
  <c r="T28" i="27"/>
  <c r="S14" i="61"/>
  <c r="S26" i="61"/>
  <c r="S80" i="61"/>
  <c r="S143" i="61"/>
  <c r="S144" i="61"/>
  <c r="L4" i="28"/>
  <c r="G236" i="73"/>
  <c r="M9" i="63"/>
  <c r="S77" i="36"/>
  <c r="S16" i="36"/>
  <c r="V120" i="76"/>
  <c r="Y120" i="76" s="1"/>
  <c r="V98" i="76"/>
  <c r="Y98" i="76" s="1"/>
  <c r="V92" i="76"/>
  <c r="Y92" i="76" s="1"/>
  <c r="V78" i="76"/>
  <c r="Y78" i="76" s="1"/>
  <c r="V51" i="76"/>
  <c r="Y51" i="76" s="1"/>
  <c r="V35" i="76"/>
  <c r="Y35" i="76" s="1"/>
  <c r="AF35" i="76" s="1"/>
  <c r="U80" i="76"/>
  <c r="S28" i="36"/>
  <c r="S62" i="36"/>
  <c r="AF58" i="76"/>
  <c r="T107" i="27"/>
  <c r="F66" i="87"/>
  <c r="S35" i="36"/>
  <c r="Q56" i="46"/>
  <c r="T95" i="27"/>
  <c r="S25" i="61"/>
  <c r="S77" i="61"/>
  <c r="S24" i="36"/>
  <c r="T137" i="27"/>
  <c r="F47" i="87"/>
  <c r="F59" i="87"/>
  <c r="D11" i="68"/>
  <c r="D264" i="68"/>
  <c r="H97" i="75"/>
  <c r="D54" i="68"/>
  <c r="AD14" i="76"/>
  <c r="AE14" i="76" s="1"/>
  <c r="AE15" i="76" s="1"/>
  <c r="AE16" i="76" s="1"/>
  <c r="AE17" i="76" s="1"/>
  <c r="AF14" i="76"/>
  <c r="AF18" i="76"/>
  <c r="AD18" i="76"/>
  <c r="AD37" i="76"/>
  <c r="AF37" i="76"/>
  <c r="AD62" i="76"/>
  <c r="AF62" i="76"/>
  <c r="AD73" i="76"/>
  <c r="AF73" i="76"/>
  <c r="AF86" i="76"/>
  <c r="AD86" i="76"/>
  <c r="N113" i="45"/>
  <c r="Q63" i="45"/>
  <c r="D263" i="68"/>
  <c r="H128" i="75"/>
  <c r="D180" i="68"/>
  <c r="H190" i="75"/>
  <c r="D96" i="68"/>
  <c r="AF28" i="76"/>
  <c r="AD28" i="76"/>
  <c r="S10" i="50"/>
  <c r="AF27" i="76"/>
  <c r="AD27" i="76"/>
  <c r="AF90" i="76"/>
  <c r="AD90" i="76"/>
  <c r="S9" i="36"/>
  <c r="P128" i="36"/>
  <c r="S128" i="36" s="1"/>
  <c r="D222" i="68"/>
  <c r="H218" i="75"/>
  <c r="D53" i="68"/>
  <c r="H65" i="75"/>
  <c r="D12" i="68"/>
  <c r="AF121" i="76"/>
  <c r="AD121" i="76"/>
  <c r="S22" i="61"/>
  <c r="D221" i="68"/>
  <c r="F10" i="87"/>
  <c r="H158" i="75"/>
  <c r="D138" i="68"/>
  <c r="AF96" i="76"/>
  <c r="AD96" i="76"/>
  <c r="AD111" i="76"/>
  <c r="F18" i="87"/>
  <c r="T52" i="27"/>
  <c r="D265" i="68"/>
  <c r="D273" i="68" s="1"/>
  <c r="D223" i="68"/>
  <c r="D231" i="68" s="1"/>
  <c r="D230" i="68" s="1"/>
  <c r="D13" i="68"/>
  <c r="O7" i="57"/>
  <c r="O8" i="77"/>
  <c r="O8" i="78"/>
  <c r="O8" i="57"/>
  <c r="D147" i="68"/>
  <c r="F41" i="34"/>
  <c r="G38" i="34"/>
  <c r="G41" i="34" s="1"/>
  <c r="E27" i="79"/>
  <c r="I27" i="79"/>
  <c r="K27" i="79" s="1"/>
  <c r="O88" i="63" l="1"/>
  <c r="P88" i="63" s="1"/>
  <c r="N88" i="63"/>
  <c r="N46" i="63"/>
  <c r="O46" i="63"/>
  <c r="P46" i="63" s="1"/>
  <c r="O126" i="63"/>
  <c r="P126" i="63" s="1"/>
  <c r="N126" i="63"/>
  <c r="Q113" i="45"/>
  <c r="AF22" i="76"/>
  <c r="Q177" i="1"/>
  <c r="N111" i="63"/>
  <c r="O111" i="63"/>
  <c r="P111" i="63" s="1"/>
  <c r="O134" i="63"/>
  <c r="P134" i="63" s="1"/>
  <c r="N134" i="63"/>
  <c r="AF71" i="76"/>
  <c r="AD71" i="76"/>
  <c r="I8" i="84"/>
  <c r="AD82" i="76"/>
  <c r="AF77" i="76"/>
  <c r="AF105" i="76"/>
  <c r="AD105" i="76"/>
  <c r="O106" i="63"/>
  <c r="P106" i="63" s="1"/>
  <c r="N106" i="63"/>
  <c r="AD122" i="76"/>
  <c r="AF122" i="76"/>
  <c r="N97" i="63"/>
  <c r="O97" i="63"/>
  <c r="P97" i="63" s="1"/>
  <c r="J70" i="84"/>
  <c r="I75" i="84"/>
  <c r="J75" i="84" s="1"/>
  <c r="Q176" i="46"/>
  <c r="G199" i="73"/>
  <c r="G200" i="73" s="1"/>
  <c r="G237" i="73"/>
  <c r="S57" i="50"/>
  <c r="S19" i="50"/>
  <c r="O11" i="57"/>
  <c r="D181" i="68"/>
  <c r="D189" i="68" s="1"/>
  <c r="D188" i="68" s="1"/>
  <c r="O11" i="78"/>
  <c r="H28" i="75"/>
  <c r="D261" i="68" s="1"/>
  <c r="D260" i="68" s="1"/>
  <c r="AD102" i="76"/>
  <c r="AF102" i="76"/>
  <c r="AF19" i="76"/>
  <c r="AD32" i="76"/>
  <c r="AF32" i="76"/>
  <c r="O115" i="63"/>
  <c r="P115" i="63" s="1"/>
  <c r="N115" i="63"/>
  <c r="N99" i="63"/>
  <c r="O99" i="63"/>
  <c r="P99" i="63" s="1"/>
  <c r="G83" i="73"/>
  <c r="AF44" i="76"/>
  <c r="AD44" i="76"/>
  <c r="AF53" i="76"/>
  <c r="AD53" i="76"/>
  <c r="AD134" i="76"/>
  <c r="AF134" i="76"/>
  <c r="P21" i="64"/>
  <c r="R21" i="64"/>
  <c r="S21" i="64" s="1"/>
  <c r="O33" i="63"/>
  <c r="P33" i="63" s="1"/>
  <c r="N33" i="63"/>
  <c r="P67" i="64"/>
  <c r="R67" i="64"/>
  <c r="S67" i="64" s="1"/>
  <c r="O51" i="63"/>
  <c r="P51" i="63" s="1"/>
  <c r="N51" i="63"/>
  <c r="N100" i="63"/>
  <c r="O100" i="63"/>
  <c r="P100" i="63" s="1"/>
  <c r="S73" i="50"/>
  <c r="AD133" i="76"/>
  <c r="J12" i="84"/>
  <c r="AD125" i="76"/>
  <c r="AD50" i="76"/>
  <c r="AF50" i="76"/>
  <c r="I34" i="79"/>
  <c r="K34" i="79" s="1"/>
  <c r="E34" i="79"/>
  <c r="AD132" i="76"/>
  <c r="AF132" i="76"/>
  <c r="N59" i="63"/>
  <c r="O59" i="63"/>
  <c r="P59" i="63" s="1"/>
  <c r="P19" i="64"/>
  <c r="R19" i="64"/>
  <c r="S19" i="64" s="1"/>
  <c r="N94" i="63"/>
  <c r="O94" i="63"/>
  <c r="P94" i="63" s="1"/>
  <c r="O119" i="63"/>
  <c r="P119" i="63" s="1"/>
  <c r="N119" i="63"/>
  <c r="R59" i="64"/>
  <c r="S59" i="64" s="1"/>
  <c r="P59" i="64"/>
  <c r="P42" i="64"/>
  <c r="R42" i="64"/>
  <c r="S42" i="64" s="1"/>
  <c r="AD112" i="76"/>
  <c r="Q151" i="27"/>
  <c r="T151" i="27" s="1"/>
  <c r="O85" i="63"/>
  <c r="P85" i="63" s="1"/>
  <c r="N85" i="63"/>
  <c r="AF114" i="76"/>
  <c r="AF126" i="76"/>
  <c r="AD126" i="76"/>
  <c r="AD67" i="76"/>
  <c r="AF67" i="76"/>
  <c r="P36" i="64"/>
  <c r="R36" i="64"/>
  <c r="S36" i="64" s="1"/>
  <c r="O21" i="63"/>
  <c r="P21" i="63" s="1"/>
  <c r="N21" i="63"/>
  <c r="S150" i="61"/>
  <c r="C78" i="68"/>
  <c r="C79" i="68" s="1"/>
  <c r="C80" i="68" s="1"/>
  <c r="C81" i="68" s="1"/>
  <c r="AF119" i="76"/>
  <c r="AD119" i="76"/>
  <c r="N52" i="63"/>
  <c r="O52" i="63"/>
  <c r="P52" i="63" s="1"/>
  <c r="P28" i="64"/>
  <c r="R28" i="64"/>
  <c r="S28" i="64" s="1"/>
  <c r="S37" i="50"/>
  <c r="S127" i="50" s="1"/>
  <c r="S107" i="50"/>
  <c r="H219" i="75"/>
  <c r="U140" i="76"/>
  <c r="C246" i="68"/>
  <c r="C247" i="68" s="1"/>
  <c r="C248" i="68" s="1"/>
  <c r="C249" i="68" s="1"/>
  <c r="AD101" i="76"/>
  <c r="AF101" i="76"/>
  <c r="AD25" i="76"/>
  <c r="AF25" i="76"/>
  <c r="AD88" i="76"/>
  <c r="AF88" i="76"/>
  <c r="N73" i="63"/>
  <c r="O73" i="63"/>
  <c r="P73" i="63" s="1"/>
  <c r="N107" i="63"/>
  <c r="O107" i="63"/>
  <c r="P107" i="63" s="1"/>
  <c r="P39" i="64"/>
  <c r="R39" i="64"/>
  <c r="S39" i="64" s="1"/>
  <c r="O104" i="63"/>
  <c r="P104" i="63" s="1"/>
  <c r="N104" i="63"/>
  <c r="N102" i="63"/>
  <c r="O102" i="63"/>
  <c r="P102" i="63" s="1"/>
  <c r="H153" i="75"/>
  <c r="D135" i="68" s="1"/>
  <c r="D134" i="68" s="1"/>
  <c r="D152" i="68" s="1"/>
  <c r="D176" i="68"/>
  <c r="E28" i="75"/>
  <c r="C261" i="68" s="1"/>
  <c r="C260" i="68" s="1"/>
  <c r="C278" i="68" s="1"/>
  <c r="C288" i="68" s="1"/>
  <c r="C289" i="68" s="1"/>
  <c r="C290" i="68" s="1"/>
  <c r="C291" i="68" s="1"/>
  <c r="E60" i="75"/>
  <c r="E66" i="75" s="1"/>
  <c r="H191" i="75"/>
  <c r="I191" i="75" s="1"/>
  <c r="D93" i="68"/>
  <c r="D92" i="68" s="1"/>
  <c r="C110" i="68"/>
  <c r="C120" i="68" s="1"/>
  <c r="C121" i="68" s="1"/>
  <c r="C122" i="68" s="1"/>
  <c r="C123" i="68" s="1"/>
  <c r="C162" i="68"/>
  <c r="C163" i="68" s="1"/>
  <c r="C164" i="68" s="1"/>
  <c r="C165" i="68" s="1"/>
  <c r="D218" i="68"/>
  <c r="C194" i="68"/>
  <c r="C204" i="68" s="1"/>
  <c r="C205" i="68" s="1"/>
  <c r="C206" i="68" s="1"/>
  <c r="C207" i="68" s="1"/>
  <c r="AF51" i="76"/>
  <c r="AD51" i="76"/>
  <c r="AD120" i="76"/>
  <c r="AF120" i="76"/>
  <c r="N113" i="63"/>
  <c r="O113" i="63"/>
  <c r="P113" i="63" s="1"/>
  <c r="AD104" i="76"/>
  <c r="AF104" i="76"/>
  <c r="N56" i="63"/>
  <c r="O56" i="63"/>
  <c r="P56" i="63" s="1"/>
  <c r="N122" i="63"/>
  <c r="O122" i="63"/>
  <c r="P122" i="63" s="1"/>
  <c r="N96" i="63"/>
  <c r="O96" i="63"/>
  <c r="P96" i="63" s="1"/>
  <c r="P7" i="64"/>
  <c r="R7" i="64"/>
  <c r="S7" i="64" s="1"/>
  <c r="P8" i="64"/>
  <c r="R8" i="64"/>
  <c r="S8" i="64" s="1"/>
  <c r="AF116" i="76"/>
  <c r="AD98" i="76"/>
  <c r="AF98" i="76"/>
  <c r="N9" i="63"/>
  <c r="O9" i="63"/>
  <c r="P9" i="63" s="1"/>
  <c r="N25" i="63"/>
  <c r="O25" i="63"/>
  <c r="P25" i="63" s="1"/>
  <c r="AD83" i="76"/>
  <c r="AF83" i="76"/>
  <c r="AD115" i="76"/>
  <c r="AF115" i="76"/>
  <c r="O112" i="63"/>
  <c r="P112" i="63" s="1"/>
  <c r="N112" i="63"/>
  <c r="O45" i="63"/>
  <c r="P45" i="63" s="1"/>
  <c r="N45" i="63"/>
  <c r="N118" i="63"/>
  <c r="O118" i="63"/>
  <c r="P118" i="63" s="1"/>
  <c r="R11" i="64"/>
  <c r="S11" i="64" s="1"/>
  <c r="P11" i="64"/>
  <c r="R16" i="64"/>
  <c r="S16" i="64" s="1"/>
  <c r="P16" i="64"/>
  <c r="I40" i="84"/>
  <c r="J37" i="84"/>
  <c r="AF80" i="76"/>
  <c r="AD80" i="76"/>
  <c r="AD92" i="76"/>
  <c r="AF92" i="76"/>
  <c r="O47" i="63"/>
  <c r="P47" i="63" s="1"/>
  <c r="N47" i="63"/>
  <c r="Y21" i="76"/>
  <c r="V140" i="76"/>
  <c r="Y140" i="76" s="1"/>
  <c r="AF129" i="76"/>
  <c r="AD129" i="76"/>
  <c r="O40" i="63"/>
  <c r="P40" i="63" s="1"/>
  <c r="N40" i="63"/>
  <c r="O11" i="63"/>
  <c r="P11" i="63" s="1"/>
  <c r="N11" i="63"/>
  <c r="R18" i="64"/>
  <c r="S18" i="64" s="1"/>
  <c r="P18" i="64"/>
  <c r="AD42" i="76"/>
  <c r="AF89" i="76"/>
  <c r="AD78" i="76"/>
  <c r="AF78" i="76"/>
  <c r="I48" i="84"/>
  <c r="J56" i="84"/>
  <c r="AF108" i="76"/>
  <c r="AD108" i="76"/>
  <c r="AF56" i="76"/>
  <c r="AD56" i="76"/>
  <c r="N75" i="63"/>
  <c r="O75" i="63"/>
  <c r="P75" i="63" s="1"/>
  <c r="P10" i="64"/>
  <c r="R10" i="64"/>
  <c r="S10" i="64" s="1"/>
  <c r="R20" i="64"/>
  <c r="S20" i="64" s="1"/>
  <c r="P20" i="64"/>
  <c r="R33" i="64"/>
  <c r="S33" i="64" s="1"/>
  <c r="P33" i="64"/>
  <c r="R53" i="64"/>
  <c r="S53" i="64" s="1"/>
  <c r="P53" i="64"/>
  <c r="AD35" i="76"/>
  <c r="H129" i="75"/>
  <c r="I128" i="75" s="1"/>
  <c r="AE18" i="76"/>
  <c r="AE19" i="76" s="1"/>
  <c r="AE20" i="76" s="1"/>
  <c r="D156" i="68"/>
  <c r="D21" i="68"/>
  <c r="D20" i="68" s="1"/>
  <c r="D63" i="68"/>
  <c r="D62" i="68" s="1"/>
  <c r="D155" i="68"/>
  <c r="O6" i="57"/>
  <c r="O6" i="77"/>
  <c r="O6" i="78"/>
  <c r="D97" i="68"/>
  <c r="D194" i="68" l="1"/>
  <c r="H159" i="75"/>
  <c r="I186" i="75"/>
  <c r="E34" i="75"/>
  <c r="I178" i="75"/>
  <c r="I188" i="75"/>
  <c r="D50" i="77" s="1"/>
  <c r="I181" i="75"/>
  <c r="I177" i="75"/>
  <c r="I189" i="75"/>
  <c r="D49" i="77" s="1"/>
  <c r="I180" i="75"/>
  <c r="I187" i="75"/>
  <c r="I190" i="75"/>
  <c r="I183" i="75"/>
  <c r="I171" i="75"/>
  <c r="I184" i="75"/>
  <c r="I185" i="75"/>
  <c r="I179" i="75"/>
  <c r="I182" i="75"/>
  <c r="C9" i="68"/>
  <c r="C8" i="68" s="1"/>
  <c r="C26" i="68" s="1"/>
  <c r="C36" i="68" s="1"/>
  <c r="C37" i="68" s="1"/>
  <c r="C38" i="68" s="1"/>
  <c r="C39" i="68" s="1"/>
  <c r="H34" i="75"/>
  <c r="I25" i="75" s="1"/>
  <c r="D236" i="68"/>
  <c r="D281" i="68"/>
  <c r="D278" i="68"/>
  <c r="D282" i="68"/>
  <c r="D240" i="68"/>
  <c r="AD21" i="76"/>
  <c r="AD140" i="76" s="1"/>
  <c r="Y143" i="76" s="1"/>
  <c r="AF21" i="76"/>
  <c r="I28" i="84"/>
  <c r="J40" i="84"/>
  <c r="I205" i="75"/>
  <c r="I210" i="75"/>
  <c r="I206" i="75"/>
  <c r="I209" i="75"/>
  <c r="I211" i="75"/>
  <c r="I203" i="75"/>
  <c r="I208" i="75"/>
  <c r="I213" i="75"/>
  <c r="I214" i="75"/>
  <c r="I216" i="75"/>
  <c r="D38" i="77" s="1"/>
  <c r="I219" i="75"/>
  <c r="I212" i="75"/>
  <c r="I207" i="75"/>
  <c r="I204" i="75"/>
  <c r="I215" i="75"/>
  <c r="I217" i="75"/>
  <c r="D37" i="77" s="1"/>
  <c r="I125" i="75"/>
  <c r="I114" i="75"/>
  <c r="I115" i="75"/>
  <c r="I117" i="75"/>
  <c r="I121" i="75"/>
  <c r="I122" i="75"/>
  <c r="I123" i="75"/>
  <c r="I129" i="75"/>
  <c r="I127" i="75"/>
  <c r="D45" i="77" s="1"/>
  <c r="I120" i="75"/>
  <c r="I112" i="75"/>
  <c r="I111" i="75"/>
  <c r="I110" i="75"/>
  <c r="I126" i="75"/>
  <c r="D46" i="77" s="1"/>
  <c r="I116" i="75"/>
  <c r="I124" i="75"/>
  <c r="I119" i="75"/>
  <c r="I118" i="75"/>
  <c r="I113" i="75"/>
  <c r="D9" i="68"/>
  <c r="D8" i="68" s="1"/>
  <c r="D26" i="68" s="1"/>
  <c r="B6" i="28" s="1"/>
  <c r="D6" i="28" s="1"/>
  <c r="F6" i="28" s="1"/>
  <c r="L6" i="28" s="1"/>
  <c r="H66" i="75"/>
  <c r="I60" i="75" s="1"/>
  <c r="I218" i="75"/>
  <c r="D239" i="68"/>
  <c r="D162" i="68"/>
  <c r="D163" i="68" s="1"/>
  <c r="E140" i="68" s="1"/>
  <c r="D30" i="68"/>
  <c r="D29" i="68"/>
  <c r="D198" i="68"/>
  <c r="D197" i="68"/>
  <c r="D71" i="68"/>
  <c r="D72" i="68"/>
  <c r="D105" i="68"/>
  <c r="AE21" i="76" l="1"/>
  <c r="AE22" i="76" s="1"/>
  <c r="AE23" i="76" s="1"/>
  <c r="AE24" i="76" s="1"/>
  <c r="AE25" i="76" s="1"/>
  <c r="AE26" i="76" s="1"/>
  <c r="AE27" i="76" s="1"/>
  <c r="AE28" i="76" s="1"/>
  <c r="AE29" i="76" s="1"/>
  <c r="AE30" i="76" s="1"/>
  <c r="AE31" i="76" s="1"/>
  <c r="AE32" i="76" s="1"/>
  <c r="AE33" i="76" s="1"/>
  <c r="AE34" i="76" s="1"/>
  <c r="AE35" i="76" s="1"/>
  <c r="AE36" i="76" s="1"/>
  <c r="AE37" i="76" s="1"/>
  <c r="AE38" i="76" s="1"/>
  <c r="AE39" i="76" s="1"/>
  <c r="AE40" i="76" s="1"/>
  <c r="AE41" i="76" s="1"/>
  <c r="AE42" i="76" s="1"/>
  <c r="AE43" i="76" s="1"/>
  <c r="AE44" i="76" s="1"/>
  <c r="AE45" i="76" s="1"/>
  <c r="AE46" i="76" s="1"/>
  <c r="AE47" i="76" s="1"/>
  <c r="AE48" i="76" s="1"/>
  <c r="AE49" i="76" s="1"/>
  <c r="AE50" i="76" s="1"/>
  <c r="AE51" i="76" s="1"/>
  <c r="AE52" i="76" s="1"/>
  <c r="AE53" i="76" s="1"/>
  <c r="AE54" i="76" s="1"/>
  <c r="AE55" i="76" s="1"/>
  <c r="AE56" i="76" s="1"/>
  <c r="AE57" i="76" s="1"/>
  <c r="AE58" i="76" s="1"/>
  <c r="AE59" i="76" s="1"/>
  <c r="AE60" i="76" s="1"/>
  <c r="AE61" i="76" s="1"/>
  <c r="AE62" i="76" s="1"/>
  <c r="AE63" i="76" s="1"/>
  <c r="AE64" i="76" s="1"/>
  <c r="AE65" i="76" s="1"/>
  <c r="AE66" i="76" s="1"/>
  <c r="AE67" i="76" s="1"/>
  <c r="AE68" i="76" s="1"/>
  <c r="AE69" i="76" s="1"/>
  <c r="AE70" i="76" s="1"/>
  <c r="AE71" i="76" s="1"/>
  <c r="AE72" i="76" s="1"/>
  <c r="AE73" i="76" s="1"/>
  <c r="AE74" i="76" s="1"/>
  <c r="AE75" i="76" s="1"/>
  <c r="AE76" i="76" s="1"/>
  <c r="AE77" i="76" s="1"/>
  <c r="AE78" i="76" s="1"/>
  <c r="AE79" i="76" s="1"/>
  <c r="AE80" i="76" s="1"/>
  <c r="AE81" i="76" s="1"/>
  <c r="AE82" i="76" s="1"/>
  <c r="AE83" i="76" s="1"/>
  <c r="AE84" i="76" s="1"/>
  <c r="AE85" i="76" s="1"/>
  <c r="AE86" i="76" s="1"/>
  <c r="AE87" i="76" s="1"/>
  <c r="AE88" i="76" s="1"/>
  <c r="AE89" i="76" s="1"/>
  <c r="AE90" i="76" s="1"/>
  <c r="AE91" i="76" s="1"/>
  <c r="AE92" i="76" s="1"/>
  <c r="AE93" i="76" s="1"/>
  <c r="AE94" i="76" s="1"/>
  <c r="AE95" i="76" s="1"/>
  <c r="AE96" i="76" s="1"/>
  <c r="AE97" i="76" s="1"/>
  <c r="AE98" i="76" s="1"/>
  <c r="AE99" i="76" s="1"/>
  <c r="AE100" i="76" s="1"/>
  <c r="AE101" i="76" s="1"/>
  <c r="AE102" i="76" s="1"/>
  <c r="AE103" i="76" s="1"/>
  <c r="AE104" i="76" s="1"/>
  <c r="AE105" i="76" s="1"/>
  <c r="AE106" i="76" s="1"/>
  <c r="AE107" i="76" s="1"/>
  <c r="AE108" i="76" s="1"/>
  <c r="AE109" i="76" s="1"/>
  <c r="AE110" i="76" s="1"/>
  <c r="AE111" i="76" s="1"/>
  <c r="AE112" i="76" s="1"/>
  <c r="AE113" i="76" s="1"/>
  <c r="AE114" i="76" s="1"/>
  <c r="AE115" i="76" s="1"/>
  <c r="AE116" i="76" s="1"/>
  <c r="AE117" i="76" s="1"/>
  <c r="AE118" i="76" s="1"/>
  <c r="AE119" i="76" s="1"/>
  <c r="AE120" i="76" s="1"/>
  <c r="AE121" i="76" s="1"/>
  <c r="AE122" i="76" s="1"/>
  <c r="AE123" i="76" s="1"/>
  <c r="AE124" i="76" s="1"/>
  <c r="AE125" i="76" s="1"/>
  <c r="AE126" i="76" s="1"/>
  <c r="AE127" i="76" s="1"/>
  <c r="AE128" i="76" s="1"/>
  <c r="AE129" i="76" s="1"/>
  <c r="AE130" i="76" s="1"/>
  <c r="AE131" i="76" s="1"/>
  <c r="AE132" i="76" s="1"/>
  <c r="AE133" i="76" s="1"/>
  <c r="AE134" i="76" s="1"/>
  <c r="AE135" i="76" s="1"/>
  <c r="AE136" i="76" s="1"/>
  <c r="I155" i="75"/>
  <c r="I146" i="75"/>
  <c r="I147" i="75"/>
  <c r="I154" i="75"/>
  <c r="I156" i="75"/>
  <c r="D42" i="77" s="1"/>
  <c r="I143" i="75"/>
  <c r="I142" i="75"/>
  <c r="I148" i="75"/>
  <c r="I159" i="75"/>
  <c r="I157" i="75"/>
  <c r="D41" i="77" s="1"/>
  <c r="I145" i="75"/>
  <c r="I149" i="75"/>
  <c r="I150" i="75"/>
  <c r="I153" i="75"/>
  <c r="I152" i="75"/>
  <c r="I151" i="75"/>
  <c r="I144" i="75"/>
  <c r="I158" i="75"/>
  <c r="I141" i="75"/>
  <c r="I28" i="75"/>
  <c r="I17" i="75"/>
  <c r="I24" i="75"/>
  <c r="I32" i="75"/>
  <c r="D15" i="77" s="1"/>
  <c r="I30" i="75"/>
  <c r="I27" i="75"/>
  <c r="I20" i="75"/>
  <c r="I34" i="75"/>
  <c r="I22" i="75"/>
  <c r="I9" i="75"/>
  <c r="I26" i="75"/>
  <c r="I19" i="75"/>
  <c r="I23" i="75"/>
  <c r="I21" i="75"/>
  <c r="I29" i="75"/>
  <c r="I31" i="75"/>
  <c r="D16" i="77" s="1"/>
  <c r="I10" i="75"/>
  <c r="I18" i="75"/>
  <c r="I33" i="75"/>
  <c r="D288" i="68"/>
  <c r="D289" i="68" s="1"/>
  <c r="B5" i="78" s="1"/>
  <c r="D5" i="78" s="1"/>
  <c r="F5" i="78" s="1"/>
  <c r="G5" i="78" s="1"/>
  <c r="I5" i="78" s="1"/>
  <c r="D246" i="68"/>
  <c r="D247" i="68" s="1"/>
  <c r="E246" i="68" s="1"/>
  <c r="D204" i="68"/>
  <c r="D205" i="68" s="1"/>
  <c r="E155" i="68"/>
  <c r="E161" i="68"/>
  <c r="E162" i="68"/>
  <c r="E149" i="68"/>
  <c r="E159" i="68"/>
  <c r="E158" i="68"/>
  <c r="E138" i="68"/>
  <c r="E145" i="68"/>
  <c r="E142" i="68"/>
  <c r="E160" i="68"/>
  <c r="E143" i="68"/>
  <c r="E150" i="68"/>
  <c r="B11" i="79"/>
  <c r="D11" i="79" s="1"/>
  <c r="E11" i="79" s="1"/>
  <c r="E157" i="68"/>
  <c r="B10" i="78"/>
  <c r="D10" i="78" s="1"/>
  <c r="F10" i="78" s="1"/>
  <c r="E10" i="78" s="1"/>
  <c r="E152" i="68"/>
  <c r="E141" i="68"/>
  <c r="E147" i="68"/>
  <c r="E148" i="68"/>
  <c r="E135" i="68"/>
  <c r="I66" i="75"/>
  <c r="I52" i="75"/>
  <c r="I58" i="75"/>
  <c r="I63" i="75"/>
  <c r="D30" i="77" s="1"/>
  <c r="I56" i="75"/>
  <c r="I53" i="75"/>
  <c r="I48" i="75"/>
  <c r="I57" i="75"/>
  <c r="I54" i="75"/>
  <c r="I61" i="75"/>
  <c r="I55" i="75"/>
  <c r="I62" i="75"/>
  <c r="I46" i="75"/>
  <c r="I64" i="75"/>
  <c r="D29" i="77" s="1"/>
  <c r="I65" i="75"/>
  <c r="I59" i="75"/>
  <c r="E146" i="68"/>
  <c r="E137" i="68"/>
  <c r="F41" i="77" s="1"/>
  <c r="E151" i="68"/>
  <c r="E134" i="68"/>
  <c r="E156" i="68"/>
  <c r="E153" i="68"/>
  <c r="E136" i="68"/>
  <c r="F42" i="77" s="1"/>
  <c r="D164" i="68"/>
  <c r="D165" i="68" s="1"/>
  <c r="E144" i="68"/>
  <c r="E154" i="68"/>
  <c r="B10" i="57"/>
  <c r="D10" i="57" s="1"/>
  <c r="J3" i="46" s="1"/>
  <c r="B10" i="77"/>
  <c r="D10" i="77" s="1"/>
  <c r="F10" i="77" s="1"/>
  <c r="K10" i="77" s="1"/>
  <c r="E163" i="68"/>
  <c r="E139" i="68"/>
  <c r="D110" i="68"/>
  <c r="D36" i="68"/>
  <c r="D37" i="68" s="1"/>
  <c r="D113" i="68"/>
  <c r="D114" i="68"/>
  <c r="E279" i="68" l="1"/>
  <c r="E276" i="68"/>
  <c r="E283" i="68"/>
  <c r="E270" i="68"/>
  <c r="E282" i="68"/>
  <c r="E281" i="68"/>
  <c r="E29" i="68"/>
  <c r="D38" i="68"/>
  <c r="D39" i="68" s="1"/>
  <c r="E272" i="68"/>
  <c r="B5" i="57"/>
  <c r="D5" i="57" s="1"/>
  <c r="F5" i="57" s="1"/>
  <c r="E5" i="57" s="1"/>
  <c r="G10" i="77"/>
  <c r="I10" i="77" s="1"/>
  <c r="E267" i="68"/>
  <c r="G10" i="78"/>
  <c r="I10" i="78" s="1"/>
  <c r="E265" i="68"/>
  <c r="E286" i="68"/>
  <c r="E269" i="68"/>
  <c r="E274" i="68"/>
  <c r="B5" i="77"/>
  <c r="D5" i="77" s="1"/>
  <c r="F5" i="77" s="1"/>
  <c r="G5" i="77" s="1"/>
  <c r="I5" i="77" s="1"/>
  <c r="E285" i="68"/>
  <c r="E275" i="68"/>
  <c r="E277" i="68"/>
  <c r="E288" i="68"/>
  <c r="B14" i="79"/>
  <c r="D14" i="79" s="1"/>
  <c r="E14" i="79" s="1"/>
  <c r="E271" i="68"/>
  <c r="E278" i="68"/>
  <c r="E280" i="68"/>
  <c r="E289" i="68"/>
  <c r="E284" i="68"/>
  <c r="E262" i="68"/>
  <c r="F16" i="77" s="1"/>
  <c r="E266" i="68"/>
  <c r="E273" i="68"/>
  <c r="E268" i="68"/>
  <c r="E260" i="68"/>
  <c r="E261" i="68"/>
  <c r="D290" i="68"/>
  <c r="D291" i="68" s="1"/>
  <c r="E287" i="68"/>
  <c r="E264" i="68"/>
  <c r="E263" i="68"/>
  <c r="F15" i="77" s="1"/>
  <c r="E5" i="78"/>
  <c r="I11" i="79"/>
  <c r="K11" i="79" s="1"/>
  <c r="F10" i="57"/>
  <c r="E10" i="57" s="1"/>
  <c r="E10" i="77"/>
  <c r="E36" i="68"/>
  <c r="E19" i="68"/>
  <c r="E14" i="68"/>
  <c r="E26" i="68"/>
  <c r="E22" i="68"/>
  <c r="E34" i="68"/>
  <c r="E9" i="68"/>
  <c r="E31" i="68"/>
  <c r="B7" i="78"/>
  <c r="D7" i="78" s="1"/>
  <c r="F7" i="78" s="1"/>
  <c r="B7" i="77"/>
  <c r="D7" i="77" s="1"/>
  <c r="F7" i="77" s="1"/>
  <c r="E21" i="68"/>
  <c r="E37" i="68"/>
  <c r="E30" i="68"/>
  <c r="E23" i="68"/>
  <c r="E24" i="68"/>
  <c r="E20" i="68"/>
  <c r="E27" i="68"/>
  <c r="E11" i="68"/>
  <c r="F29" i="77" s="1"/>
  <c r="E10" i="68"/>
  <c r="F30" i="77" s="1"/>
  <c r="E16" i="68"/>
  <c r="E18" i="68"/>
  <c r="B7" i="57"/>
  <c r="D7" i="57" s="1"/>
  <c r="F7" i="57" s="1"/>
  <c r="E7" i="57" s="1"/>
  <c r="E32" i="68"/>
  <c r="E25" i="68"/>
  <c r="E12" i="68"/>
  <c r="E35" i="68"/>
  <c r="E13" i="68"/>
  <c r="B8" i="79"/>
  <c r="D8" i="79" s="1"/>
  <c r="E17" i="68"/>
  <c r="E15" i="68"/>
  <c r="E8" i="68"/>
  <c r="E33" i="68"/>
  <c r="D120" i="68"/>
  <c r="D121" i="68" s="1"/>
  <c r="B6" i="78" s="1"/>
  <c r="D6" i="78" s="1"/>
  <c r="F6" i="78" s="1"/>
  <c r="E232" i="68"/>
  <c r="B9" i="57"/>
  <c r="D9" i="57" s="1"/>
  <c r="F9" i="57" s="1"/>
  <c r="E9" i="57" s="1"/>
  <c r="E245" i="68"/>
  <c r="E242" i="68"/>
  <c r="E227" i="68"/>
  <c r="B9" i="78"/>
  <c r="D9" i="78" s="1"/>
  <c r="F9" i="78" s="1"/>
  <c r="E238" i="68"/>
  <c r="E226" i="68"/>
  <c r="E233" i="68"/>
  <c r="D248" i="68"/>
  <c r="D249" i="68" s="1"/>
  <c r="E235" i="68"/>
  <c r="E241" i="68"/>
  <c r="B13" i="79"/>
  <c r="D13" i="79" s="1"/>
  <c r="E240" i="68"/>
  <c r="E237" i="68"/>
  <c r="B9" i="77"/>
  <c r="D9" i="77" s="1"/>
  <c r="F9" i="77" s="1"/>
  <c r="E231" i="68"/>
  <c r="E244" i="68"/>
  <c r="E222" i="68"/>
  <c r="E230" i="68"/>
  <c r="E221" i="68"/>
  <c r="F37" i="77" s="1"/>
  <c r="E223" i="68"/>
  <c r="E220" i="68"/>
  <c r="F38" i="77" s="1"/>
  <c r="E234" i="68"/>
  <c r="E247" i="68"/>
  <c r="E224" i="68"/>
  <c r="E239" i="68"/>
  <c r="E228" i="68"/>
  <c r="E229" i="68"/>
  <c r="E243" i="68"/>
  <c r="E225" i="68"/>
  <c r="E219" i="68"/>
  <c r="E218" i="68"/>
  <c r="E236" i="68"/>
  <c r="E192" i="68"/>
  <c r="B11" i="57"/>
  <c r="D11" i="57" s="1"/>
  <c r="F11" i="57" s="1"/>
  <c r="E11" i="57" s="1"/>
  <c r="E188" i="68"/>
  <c r="E200" i="68"/>
  <c r="E187" i="68"/>
  <c r="E197" i="68"/>
  <c r="E178" i="68"/>
  <c r="F46" i="77" s="1"/>
  <c r="E182" i="68"/>
  <c r="E186" i="68"/>
  <c r="E179" i="68"/>
  <c r="F45" i="77" s="1"/>
  <c r="E184" i="68"/>
  <c r="B12" i="79"/>
  <c r="D12" i="79" s="1"/>
  <c r="D206" i="68"/>
  <c r="D207" i="68" s="1"/>
  <c r="B11" i="78"/>
  <c r="D11" i="78" s="1"/>
  <c r="F11" i="78" s="1"/>
  <c r="B11" i="77"/>
  <c r="D11" i="77" s="1"/>
  <c r="F11" i="77" s="1"/>
  <c r="E201" i="68"/>
  <c r="E185" i="68"/>
  <c r="E189" i="68"/>
  <c r="E205" i="68"/>
  <c r="E190" i="68"/>
  <c r="E196" i="68"/>
  <c r="E180" i="68"/>
  <c r="E191" i="68"/>
  <c r="E199" i="68"/>
  <c r="E203" i="68"/>
  <c r="E181" i="68"/>
  <c r="E193" i="68"/>
  <c r="E195" i="68"/>
  <c r="E202" i="68"/>
  <c r="E198" i="68"/>
  <c r="E183" i="68"/>
  <c r="F49" i="77" s="1"/>
  <c r="E177" i="68"/>
  <c r="E176" i="68"/>
  <c r="E194" i="68"/>
  <c r="E204" i="68"/>
  <c r="G255" i="68" l="1"/>
  <c r="I14" i="79"/>
  <c r="K14" i="79" s="1"/>
  <c r="E5" i="77"/>
  <c r="K5" i="77"/>
  <c r="E118" i="68"/>
  <c r="E120" i="68"/>
  <c r="E93" i="68"/>
  <c r="E106" i="68"/>
  <c r="E92" i="68"/>
  <c r="E116" i="68"/>
  <c r="E94" i="68"/>
  <c r="F50" i="77" s="1"/>
  <c r="E117" i="68"/>
  <c r="E8" i="79"/>
  <c r="I8" i="79"/>
  <c r="K8" i="79" s="1"/>
  <c r="G7" i="78"/>
  <c r="I7" i="78" s="1"/>
  <c r="E7" i="78"/>
  <c r="G7" i="77"/>
  <c r="I7" i="77" s="1"/>
  <c r="K7" i="77"/>
  <c r="E7" i="77"/>
  <c r="E110" i="68"/>
  <c r="E96" i="68"/>
  <c r="E102" i="68"/>
  <c r="E119" i="68"/>
  <c r="E114" i="68"/>
  <c r="E111" i="68"/>
  <c r="E104" i="68"/>
  <c r="D122" i="68"/>
  <c r="D123" i="68" s="1"/>
  <c r="E97" i="68"/>
  <c r="E115" i="68"/>
  <c r="E100" i="68"/>
  <c r="B6" i="57"/>
  <c r="D6" i="57" s="1"/>
  <c r="F6" i="57" s="1"/>
  <c r="E6" i="57" s="1"/>
  <c r="E113" i="68"/>
  <c r="E112" i="68"/>
  <c r="E99" i="68"/>
  <c r="B6" i="77"/>
  <c r="D6" i="77" s="1"/>
  <c r="F6" i="77" s="1"/>
  <c r="E6" i="77" s="1"/>
  <c r="B10" i="79"/>
  <c r="D10" i="79" s="1"/>
  <c r="I10" i="79" s="1"/>
  <c r="K10" i="79" s="1"/>
  <c r="E121" i="68"/>
  <c r="E95" i="68"/>
  <c r="E101" i="68"/>
  <c r="E98" i="68"/>
  <c r="E108" i="68"/>
  <c r="E103" i="68"/>
  <c r="E105" i="68"/>
  <c r="E107" i="68"/>
  <c r="E109" i="68"/>
  <c r="E206" i="68"/>
  <c r="E207" i="68"/>
  <c r="G11" i="78"/>
  <c r="I11" i="78" s="1"/>
  <c r="E11" i="78"/>
  <c r="K9" i="77"/>
  <c r="G9" i="77"/>
  <c r="I9" i="77" s="1"/>
  <c r="E9" i="77"/>
  <c r="I13" i="79"/>
  <c r="K13" i="79" s="1"/>
  <c r="E13" i="79"/>
  <c r="E6" i="78"/>
  <c r="G6" i="78"/>
  <c r="I6" i="78" s="1"/>
  <c r="G11" i="77"/>
  <c r="I11" i="77" s="1"/>
  <c r="K11" i="77"/>
  <c r="E11" i="77"/>
  <c r="E12" i="79"/>
  <c r="I12" i="79"/>
  <c r="K12" i="79" s="1"/>
  <c r="G9" i="78"/>
  <c r="I9" i="78" s="1"/>
  <c r="E9" i="78"/>
  <c r="G6" i="77" l="1"/>
  <c r="I6" i="77" s="1"/>
  <c r="E10" i="79"/>
  <c r="D51" i="68"/>
  <c r="D50" i="68" l="1"/>
  <c r="H98" i="75"/>
  <c r="I94" i="75" l="1"/>
  <c r="I88" i="75"/>
  <c r="I90" i="75"/>
  <c r="I95" i="75"/>
  <c r="D34" i="77" s="1"/>
  <c r="I91" i="75"/>
  <c r="I86" i="75"/>
  <c r="I84" i="75"/>
  <c r="I96" i="75"/>
  <c r="D33" i="77" s="1"/>
  <c r="I93" i="75"/>
  <c r="I98" i="75"/>
  <c r="I89" i="75"/>
  <c r="I87" i="75"/>
  <c r="I78" i="75"/>
  <c r="I83" i="75"/>
  <c r="I97" i="75"/>
  <c r="I85" i="75"/>
  <c r="D68" i="68"/>
  <c r="I92" i="75"/>
  <c r="D78" i="68" l="1"/>
  <c r="D79" i="68" l="1"/>
  <c r="E69" i="68" l="1"/>
  <c r="E75" i="68"/>
  <c r="E71" i="68"/>
  <c r="E62" i="68"/>
  <c r="E55" i="68"/>
  <c r="E76" i="68"/>
  <c r="B8" i="57"/>
  <c r="D8" i="57" s="1"/>
  <c r="E72" i="68"/>
  <c r="E77" i="68"/>
  <c r="E79" i="68"/>
  <c r="E66" i="68"/>
  <c r="E74" i="68"/>
  <c r="E59" i="68"/>
  <c r="B8" i="77"/>
  <c r="D8" i="77" s="1"/>
  <c r="F8" i="77" s="1"/>
  <c r="E57" i="68"/>
  <c r="E64" i="68"/>
  <c r="E56" i="68"/>
  <c r="E54" i="68"/>
  <c r="E67" i="68"/>
  <c r="E73" i="68"/>
  <c r="E52" i="68"/>
  <c r="F34" i="77" s="1"/>
  <c r="D80" i="68"/>
  <c r="D81" i="68" s="1"/>
  <c r="B9" i="79"/>
  <c r="D9" i="79" s="1"/>
  <c r="B8" i="78"/>
  <c r="D8" i="78" s="1"/>
  <c r="F8" i="78" s="1"/>
  <c r="E63" i="68"/>
  <c r="E60" i="68"/>
  <c r="E58" i="68"/>
  <c r="E70" i="68"/>
  <c r="E61" i="68"/>
  <c r="E65" i="68"/>
  <c r="E53" i="68"/>
  <c r="F33" i="77" s="1"/>
  <c r="E51" i="68"/>
  <c r="E50" i="68"/>
  <c r="E68" i="68"/>
  <c r="E78" i="68"/>
  <c r="G8" i="78" l="1"/>
  <c r="I8" i="78" s="1"/>
  <c r="E8" i="78"/>
  <c r="L74" i="75"/>
  <c r="I22" i="34"/>
  <c r="K8" i="77"/>
  <c r="E8" i="77"/>
  <c r="G8" i="77"/>
  <c r="I8" i="77" s="1"/>
  <c r="E9" i="79"/>
  <c r="I9" i="79"/>
  <c r="K9" i="79" s="1"/>
  <c r="L3" i="36"/>
  <c r="F8" i="57"/>
  <c r="E8" i="57" s="1"/>
</calcChain>
</file>

<file path=xl/comments1.xml><?xml version="1.0" encoding="utf-8"?>
<comments xmlns="http://schemas.openxmlformats.org/spreadsheetml/2006/main">
  <authors>
    <author>Felipe</author>
  </authors>
  <commentList>
    <comment ref="O7" authorId="0" shapeId="0">
      <text>
        <r>
          <rPr>
            <b/>
            <sz val="12"/>
            <color indexed="81"/>
            <rFont val="Tahoma"/>
            <family val="2"/>
          </rPr>
          <t>Felipe:</t>
        </r>
        <r>
          <rPr>
            <sz val="12"/>
            <color indexed="81"/>
            <rFont val="Tahoma"/>
            <family val="2"/>
          </rPr>
          <t xml:space="preserve">
bajito</t>
        </r>
      </text>
    </comment>
  </commentList>
</comments>
</file>

<file path=xl/comments10.xml><?xml version="1.0" encoding="utf-8"?>
<comments xmlns="http://schemas.openxmlformats.org/spreadsheetml/2006/main">
  <authors>
    <author>Felipe Tejeda Barrero</author>
    <author>gomez</author>
    <author>robertod</author>
  </authors>
  <commentList>
    <comment ref="G17" authorId="0" shapeId="0">
      <text>
        <r>
          <rPr>
            <b/>
            <sz val="8"/>
            <color indexed="81"/>
            <rFont val="Tahoma"/>
            <family val="2"/>
          </rPr>
          <t>El peso de cada semilla nunca debe ser superior a 200g</t>
        </r>
      </text>
    </comment>
    <comment ref="B20" authorId="1" shapeId="0">
      <text>
        <r>
          <rPr>
            <b/>
            <sz val="12"/>
            <color indexed="81"/>
            <rFont val="Tahoma"/>
            <family val="2"/>
          </rPr>
          <t>ES LA SUMATORIA DE LAAS QUE ESTÁN DEBEJO</t>
        </r>
      </text>
    </comment>
    <comment ref="M20" authorId="2" shapeId="0">
      <text>
        <r>
          <rPr>
            <b/>
            <sz val="8"/>
            <color indexed="81"/>
            <rFont val="Tahoma"/>
            <family val="2"/>
          </rPr>
          <t xml:space="preserve">9.80 el  kg CUP
</t>
        </r>
      </text>
    </comment>
    <comment ref="M21" authorId="0" shapeId="0">
      <text>
        <r>
          <rPr>
            <b/>
            <sz val="8"/>
            <color indexed="10"/>
            <rFont val="Tahoma"/>
            <family val="2"/>
          </rPr>
          <t>350 m3 en cada riego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2" authorId="0" shapeId="0">
      <text>
        <r>
          <rPr>
            <b/>
            <sz val="8"/>
            <color indexed="10"/>
            <rFont val="Tahoma"/>
            <family val="2"/>
          </rPr>
          <t>350 m3 en cada riego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 shapeId="0">
      <text>
        <r>
          <rPr>
            <b/>
            <sz val="12"/>
            <color indexed="81"/>
            <rFont val="Tahoma"/>
            <family val="2"/>
          </rPr>
          <t>ES LA SUMATORIA DE LAAS QUE ESTÁN DEBEJO</t>
        </r>
      </text>
    </comment>
    <comment ref="M27" authorId="2" shapeId="0">
      <text>
        <r>
          <rPr>
            <b/>
            <sz val="8"/>
            <color indexed="81"/>
            <rFont val="Tahoma"/>
            <family val="2"/>
          </rPr>
          <t xml:space="preserve">9.80 el  kg CUP
</t>
        </r>
      </text>
    </comment>
    <comment ref="N52" authorId="2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N53" authorId="2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  <comment ref="N80" authorId="2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N112" authorId="2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N113" authorId="2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N114" authorId="2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  <comment ref="N115" authorId="2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</commentList>
</comments>
</file>

<file path=xl/comments11.xml><?xml version="1.0" encoding="utf-8"?>
<comments xmlns="http://schemas.openxmlformats.org/spreadsheetml/2006/main">
  <authors>
    <author>robertod</author>
  </authors>
  <commentList>
    <comment ref="M45" authorId="0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M46" authorId="0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  <comment ref="M72" authorId="0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M73" authorId="0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M97" authorId="0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M99" authorId="0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  <comment ref="M127" authorId="0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M128" authorId="0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</commentList>
</comments>
</file>

<file path=xl/comments2.xml><?xml version="1.0" encoding="utf-8"?>
<comments xmlns="http://schemas.openxmlformats.org/spreadsheetml/2006/main">
  <authors>
    <author>Felipe</author>
  </authors>
  <commentList>
    <comment ref="O7" authorId="0" shapeId="0">
      <text>
        <r>
          <rPr>
            <b/>
            <sz val="12"/>
            <color indexed="81"/>
            <rFont val="Tahoma"/>
            <family val="2"/>
          </rPr>
          <t>Felipe:</t>
        </r>
        <r>
          <rPr>
            <sz val="12"/>
            <color indexed="81"/>
            <rFont val="Tahoma"/>
            <family val="2"/>
          </rPr>
          <t xml:space="preserve">
bajito</t>
        </r>
      </text>
    </comment>
  </commentList>
</comments>
</file>

<file path=xl/comments3.xml><?xml version="1.0" encoding="utf-8"?>
<comments xmlns="http://schemas.openxmlformats.org/spreadsheetml/2006/main">
  <authors>
    <author>Felipe</author>
  </authors>
  <commentList>
    <comment ref="O7" authorId="0" shapeId="0">
      <text>
        <r>
          <rPr>
            <b/>
            <sz val="12"/>
            <color indexed="81"/>
            <rFont val="Tahoma"/>
            <family val="2"/>
          </rPr>
          <t>Felipe:</t>
        </r>
        <r>
          <rPr>
            <sz val="12"/>
            <color indexed="81"/>
            <rFont val="Tahoma"/>
            <family val="2"/>
          </rPr>
          <t xml:space="preserve">
bajito</t>
        </r>
      </text>
    </comment>
  </commentList>
</comments>
</file>

<file path=xl/comments4.xml><?xml version="1.0" encoding="utf-8"?>
<comments xmlns="http://schemas.openxmlformats.org/spreadsheetml/2006/main">
  <authors>
    <author>precios2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Acuerdo del CECM 2020</t>
        </r>
      </text>
    </comment>
  </commentList>
</comments>
</file>

<file path=xl/comments5.xml><?xml version="1.0" encoding="utf-8"?>
<comments xmlns="http://schemas.openxmlformats.org/spreadsheetml/2006/main">
  <authors>
    <author>precios2</author>
  </authors>
  <commentList>
    <comment ref="F46" authorId="0" shapeId="0">
      <text>
        <r>
          <rPr>
            <b/>
            <sz val="9"/>
            <color indexed="81"/>
            <rFont val="Tahoma"/>
            <family val="2"/>
          </rPr>
          <t>precios2:</t>
        </r>
        <r>
          <rPr>
            <sz val="9"/>
            <color indexed="81"/>
            <rFont val="Tahoma"/>
            <family val="2"/>
          </rPr>
          <t xml:space="preserve">
Millar de unidades</t>
        </r>
      </text>
    </comment>
  </commentList>
</comments>
</file>

<file path=xl/comments6.xml><?xml version="1.0" encoding="utf-8"?>
<comments xmlns="http://schemas.openxmlformats.org/spreadsheetml/2006/main">
  <authors>
    <author>Felipe Tejeda Barrero</author>
    <author>robertod</author>
  </authors>
  <commentList>
    <comment ref="M29" authorId="0" shapeId="0">
      <text>
        <r>
          <rPr>
            <b/>
            <sz val="8"/>
            <color indexed="81"/>
            <rFont val="Tahoma"/>
            <family val="2"/>
          </rPr>
          <t>Un millon de larbas 38.40</t>
        </r>
      </text>
    </comment>
    <comment ref="M49" authorId="1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M52" authorId="1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  <comment ref="M107" authorId="1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</commentList>
</comments>
</file>

<file path=xl/comments7.xml><?xml version="1.0" encoding="utf-8"?>
<comments xmlns="http://schemas.openxmlformats.org/spreadsheetml/2006/main">
  <authors>
    <author>Felipe Tejeda Barrero</author>
    <author>gomez</author>
    <author>robertod</author>
  </authors>
  <commentList>
    <comment ref="G17" authorId="0" shapeId="0">
      <text>
        <r>
          <rPr>
            <b/>
            <sz val="8"/>
            <color indexed="81"/>
            <rFont val="Tahoma"/>
            <family val="2"/>
          </rPr>
          <t>El peso de cada semilla nunca debe ser superior a 200g</t>
        </r>
      </text>
    </comment>
    <comment ref="B20" authorId="1" shapeId="0">
      <text>
        <r>
          <rPr>
            <b/>
            <sz val="12"/>
            <color indexed="81"/>
            <rFont val="Tahoma"/>
            <family val="2"/>
          </rPr>
          <t>ES LA SUMATORIA DE LAAS QUE ESTÁN DEBEJO</t>
        </r>
      </text>
    </comment>
    <comment ref="O20" authorId="2" shapeId="0">
      <text>
        <r>
          <rPr>
            <b/>
            <sz val="8"/>
            <color indexed="81"/>
            <rFont val="Tahoma"/>
            <family val="2"/>
          </rPr>
          <t xml:space="preserve">9.80 el  kg CUP
</t>
        </r>
      </text>
    </comment>
    <comment ref="O21" authorId="0" shapeId="0">
      <text>
        <r>
          <rPr>
            <b/>
            <sz val="8"/>
            <color indexed="10"/>
            <rFont val="Tahoma"/>
            <family val="2"/>
          </rPr>
          <t>350 m3 en cada riego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22" authorId="0" shapeId="0">
      <text>
        <r>
          <rPr>
            <b/>
            <sz val="8"/>
            <color indexed="10"/>
            <rFont val="Tahoma"/>
            <family val="2"/>
          </rPr>
          <t>350 m3 en cada riego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 shapeId="0">
      <text>
        <r>
          <rPr>
            <b/>
            <sz val="12"/>
            <color indexed="81"/>
            <rFont val="Tahoma"/>
            <family val="2"/>
          </rPr>
          <t>ES LA SUMATORIA DE LAAS QUE ESTÁN DEBEJO</t>
        </r>
      </text>
    </comment>
    <comment ref="O27" authorId="2" shapeId="0">
      <text>
        <r>
          <rPr>
            <b/>
            <sz val="8"/>
            <color indexed="81"/>
            <rFont val="Tahoma"/>
            <family val="2"/>
          </rPr>
          <t xml:space="preserve">9.80 el  kg CUP
</t>
        </r>
      </text>
    </comment>
    <comment ref="P52" authorId="2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P53" authorId="2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  <comment ref="P80" authorId="2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P112" authorId="2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P113" authorId="2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P114" authorId="2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  <comment ref="P115" authorId="2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</commentList>
</comments>
</file>

<file path=xl/comments8.xml><?xml version="1.0" encoding="utf-8"?>
<comments xmlns="http://schemas.openxmlformats.org/spreadsheetml/2006/main">
  <authors>
    <author>robertod</author>
  </authors>
  <commentList>
    <comment ref="N78" authorId="0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N79" authorId="0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  <comment ref="N80" authorId="0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  <comment ref="N105" authorId="0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N106" authorId="0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</commentList>
</comments>
</file>

<file path=xl/comments9.xml><?xml version="1.0" encoding="utf-8"?>
<comments xmlns="http://schemas.openxmlformats.org/spreadsheetml/2006/main">
  <authors>
    <author>gomez</author>
    <author>robertod</author>
  </authors>
  <commentList>
    <comment ref="B17" authorId="0" shapeId="0">
      <text>
        <r>
          <rPr>
            <b/>
            <sz val="12"/>
            <color indexed="81"/>
            <rFont val="Tahoma"/>
            <family val="2"/>
          </rPr>
          <t>ES LA SUMATORIA DE LAAS QUE ESTÁN DEBEJO</t>
        </r>
      </text>
    </comment>
    <comment ref="N19" authorId="1" shapeId="0">
      <text>
        <r>
          <rPr>
            <b/>
            <sz val="8"/>
            <color indexed="81"/>
            <rFont val="Tahoma"/>
            <family val="2"/>
          </rPr>
          <t xml:space="preserve">9.80 el  kg CUP y 1 kg cada 10 qq
</t>
        </r>
      </text>
    </comment>
    <comment ref="O49" authorId="1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O50" authorId="1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  <comment ref="O51" authorId="1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  <comment ref="O62" authorId="1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O70" authorId="1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O79" authorId="1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O82" authorId="1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O85" authorId="1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O116" authorId="1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O117" authorId="1" shapeId="0">
      <text>
        <r>
          <rPr>
            <sz val="8"/>
            <color indexed="81"/>
            <rFont val="Tahoma"/>
            <family val="2"/>
          </rPr>
          <t xml:space="preserve">
Cada 45 días</t>
        </r>
      </text>
    </comment>
    <comment ref="O118" authorId="1" shapeId="0">
      <text>
        <r>
          <rPr>
            <b/>
            <sz val="8"/>
            <color indexed="81"/>
            <rFont val="Tahoma"/>
            <family val="2"/>
          </rPr>
          <t>a los 45 días y 135 días</t>
        </r>
      </text>
    </comment>
  </commentList>
</comments>
</file>

<file path=xl/sharedStrings.xml><?xml version="1.0" encoding="utf-8"?>
<sst xmlns="http://schemas.openxmlformats.org/spreadsheetml/2006/main" count="10854" uniqueCount="2095">
  <si>
    <t>Balanzas ( báscula machete de 15 kg)</t>
  </si>
  <si>
    <t>Balanza electrónica 15 kg de plato ø 400 mm</t>
  </si>
  <si>
    <t>Overoles con peto</t>
  </si>
  <si>
    <t>Herradura</t>
  </si>
  <si>
    <t xml:space="preserve">Clavo para herradura </t>
  </si>
  <si>
    <t>Guantes de trabajo de tela y lona</t>
  </si>
  <si>
    <t>par</t>
  </si>
  <si>
    <t>Guantes de trabajo reforzados de lona</t>
  </si>
  <si>
    <t>Malla eslabonada (10 metros)</t>
  </si>
  <si>
    <t>Balanza Colgante 60 kg</t>
  </si>
  <si>
    <t>Balanza de Plato 10 kg</t>
  </si>
  <si>
    <t>Cuchillo 6" estrecho</t>
  </si>
  <si>
    <t>Cuchillo 8" estrecho</t>
  </si>
  <si>
    <t>Cuchillo 6" curvo</t>
  </si>
  <si>
    <t>Soga de 1 1/8" de fibra sintética (rollo de 25 kg=450 mts).</t>
  </si>
  <si>
    <t>Mangueras PVC hervaflex rollo de 100 m 1/2"</t>
  </si>
  <si>
    <t>Mangueras PVC hervaflex rollo de 100 m 3/4"</t>
  </si>
  <si>
    <t>Costo más seguro estatal</t>
  </si>
  <si>
    <t>Costo por t</t>
  </si>
  <si>
    <t>Papa semilla importada</t>
  </si>
  <si>
    <t xml:space="preserve">Plátano fruta </t>
  </si>
  <si>
    <t>Malanga colocasiaolocasia</t>
  </si>
  <si>
    <t>Producto: Malanga colocasiaolocasia</t>
  </si>
  <si>
    <t xml:space="preserve">PRODUCTO: Malanga colocasiaolocasia        </t>
  </si>
  <si>
    <t>Malanga xanthosoma</t>
  </si>
  <si>
    <t>Malanga xanthosomaanthosoma</t>
  </si>
  <si>
    <t>Producto: Malanga xanthosomaanthosoma</t>
  </si>
  <si>
    <t xml:space="preserve">PRODUCTO: Malanga xanthosomaanthosoma        </t>
  </si>
  <si>
    <t>Producto: Yuca</t>
  </si>
  <si>
    <t xml:space="preserve">PRODUCTO:  Yuca       </t>
  </si>
  <si>
    <t>Plátanofruta</t>
  </si>
  <si>
    <t>Papa Semilla importada</t>
  </si>
  <si>
    <t>Soga de henequén 4 cabos 16 mm espesor</t>
  </si>
  <si>
    <t>Soga de henequén 4 cabos 14 mm espesor</t>
  </si>
  <si>
    <t>Soga de henequén 4 cabos 12 mm espesor</t>
  </si>
  <si>
    <t>Cajas paleta</t>
  </si>
  <si>
    <t xml:space="preserve">Machete 22”                                                  </t>
  </si>
  <si>
    <t xml:space="preserve">Machete 18”                                                  </t>
  </si>
  <si>
    <t xml:space="preserve">Mocha 16”  cabo de madera                        </t>
  </si>
  <si>
    <t>Mocha 16” cabo plástico</t>
  </si>
  <si>
    <t>Botas PVC caña alta referencia SH-001211</t>
  </si>
  <si>
    <t>Botas PVC caña media referencia SH-001212</t>
  </si>
  <si>
    <t xml:space="preserve">Mochila para fUMigar 16 lts </t>
  </si>
  <si>
    <t>Botas "Caribbean" (Hércules). de piel natural lisa. 17 cm de alto</t>
  </si>
  <si>
    <t xml:space="preserve">Alambre con púas rollo de 100 m con 8.3 kg.  </t>
  </si>
  <si>
    <t>De ello Salario</t>
  </si>
  <si>
    <t xml:space="preserve">Alambre con púas rollo de 200 m con 16.3 kg.  </t>
  </si>
  <si>
    <t>Alambre con púas rollo de 400m con 32.2 kg</t>
  </si>
  <si>
    <t>Cinto de labor y fuerza</t>
  </si>
  <si>
    <t>Guantes súperreforzado</t>
  </si>
  <si>
    <t xml:space="preserve"> Hachas de 3.5 libras </t>
  </si>
  <si>
    <t xml:space="preserve"> Alicate serguero </t>
  </si>
  <si>
    <t xml:space="preserve"> Regadera 10 litros con asa </t>
  </si>
  <si>
    <t xml:space="preserve"> Tijeras de podar con mango de madera de 20" </t>
  </si>
  <si>
    <t xml:space="preserve"> Hoz arrocera </t>
  </si>
  <si>
    <t xml:space="preserve"> Botas de piel </t>
  </si>
  <si>
    <t>Caja de cartón (fondo y tapa)</t>
  </si>
  <si>
    <t>Caja plástica 021</t>
  </si>
  <si>
    <t>Saco de malla de 25 kg</t>
  </si>
  <si>
    <t>Saco de malla de 46 kg</t>
  </si>
  <si>
    <t>Saco de saret 25 kg</t>
  </si>
  <si>
    <t>Saco de saret 50 kg</t>
  </si>
  <si>
    <t>Saco recuperado</t>
  </si>
  <si>
    <t>Bolsa de nylon de 30 x 40 x 10  (millar)</t>
  </si>
  <si>
    <t>Ahumador</t>
  </si>
  <si>
    <t>Alambres</t>
  </si>
  <si>
    <t>Cajas de cartón</t>
  </si>
  <si>
    <t>Cajas plásticas para propóleos</t>
  </si>
  <si>
    <t>Carretilla Apícola</t>
  </si>
  <si>
    <t>Cepillo apícola</t>
  </si>
  <si>
    <t>Colador</t>
  </si>
  <si>
    <t>Colador de cera</t>
  </si>
  <si>
    <t>Cubeta</t>
  </si>
  <si>
    <t>Cuchillo de desellar</t>
  </si>
  <si>
    <t>Electrodos para soldar 3 mm</t>
  </si>
  <si>
    <t>Enjambre (abejas diferentes edades)</t>
  </si>
  <si>
    <t>Espátula</t>
  </si>
  <si>
    <t>Extractor de panales</t>
  </si>
  <si>
    <t>Guantes</t>
  </si>
  <si>
    <t>Hacha</t>
  </si>
  <si>
    <t>Jarro</t>
  </si>
  <si>
    <t>Malla zaranda</t>
  </si>
  <si>
    <t>m²</t>
  </si>
  <si>
    <t>Martillo</t>
  </si>
  <si>
    <t>Mesa de desellar</t>
  </si>
  <si>
    <t>Molde o maqueta de cera</t>
  </si>
  <si>
    <t>Ojete</t>
  </si>
  <si>
    <t>caja</t>
  </si>
  <si>
    <t>Overol</t>
  </si>
  <si>
    <t>Panales con cría</t>
  </si>
  <si>
    <t>Panales con miel</t>
  </si>
  <si>
    <t>Panales con Polen</t>
  </si>
  <si>
    <t>Panales Obrados</t>
  </si>
  <si>
    <t>Pintura</t>
  </si>
  <si>
    <t>Plancha de zinc</t>
  </si>
  <si>
    <t>Sosa cáustica</t>
  </si>
  <si>
    <t>Velo apícola</t>
  </si>
  <si>
    <t>SEMILLAS ESPECIE / VARIEDAD</t>
  </si>
  <si>
    <t>Achicoria Roja</t>
  </si>
  <si>
    <t>ACELGA CHINA</t>
  </si>
  <si>
    <t xml:space="preserve">Cantón  </t>
  </si>
  <si>
    <t>Seppak</t>
  </si>
  <si>
    <t>Tonko</t>
  </si>
  <si>
    <t>ACELGA ESPAÑOLA</t>
  </si>
  <si>
    <t>White Ribber</t>
  </si>
  <si>
    <t>AJO PUERRO</t>
  </si>
  <si>
    <t>Large American Flag</t>
  </si>
  <si>
    <t>AJO PUERRO CHINO</t>
  </si>
  <si>
    <t>Broad Leaf</t>
  </si>
  <si>
    <t>AJÍ PICANTE</t>
  </si>
  <si>
    <t>Long Red Cayenne</t>
  </si>
  <si>
    <t>APIO</t>
  </si>
  <si>
    <t>Summer Pascal</t>
  </si>
  <si>
    <t>Utah 5270</t>
  </si>
  <si>
    <t>BERENJENA</t>
  </si>
  <si>
    <t>Florida High Bush</t>
  </si>
  <si>
    <t>Berengena Aragon</t>
  </si>
  <si>
    <t>Giralda</t>
  </si>
  <si>
    <t>Serena</t>
  </si>
  <si>
    <t>BROCOLI</t>
  </si>
  <si>
    <t>Witham 29 D Sicco</t>
  </si>
  <si>
    <t>TSX-0788</t>
  </si>
  <si>
    <t>CALABACIN</t>
  </si>
  <si>
    <t xml:space="preserve"> Verde O Ambasador</t>
  </si>
  <si>
    <t xml:space="preserve"> Verde Storr Green</t>
  </si>
  <si>
    <t xml:space="preserve"> Amarillo Golden</t>
  </si>
  <si>
    <t>CEBOLLA</t>
  </si>
  <si>
    <t>Yellow Granex F-1</t>
  </si>
  <si>
    <t>Yellow Granex 106</t>
  </si>
  <si>
    <t>Sweetuno</t>
  </si>
  <si>
    <t>Diandra</t>
  </si>
  <si>
    <t>Texas Early Grano</t>
  </si>
  <si>
    <t>Red Creole</t>
  </si>
  <si>
    <t xml:space="preserve">CEBOLLINO </t>
  </si>
  <si>
    <t>Ever Green White Bunching</t>
  </si>
  <si>
    <t>Kioto Market</t>
  </si>
  <si>
    <t>Kujo Green</t>
  </si>
  <si>
    <t>COL TOTAL</t>
  </si>
  <si>
    <t>Kk cross</t>
  </si>
  <si>
    <t>Globe master</t>
  </si>
  <si>
    <t>King of king</t>
  </si>
  <si>
    <t>Col roja</t>
  </si>
  <si>
    <t xml:space="preserve">COL CHINA </t>
  </si>
  <si>
    <t>WR-70</t>
  </si>
  <si>
    <t>Maruba Santoh</t>
  </si>
  <si>
    <t>Tokio Bekana</t>
  </si>
  <si>
    <t>COLIFLOR</t>
  </si>
  <si>
    <t>Silver CUP</t>
  </si>
  <si>
    <t>COLINABO</t>
  </si>
  <si>
    <t>A Purple Top White Globe</t>
  </si>
  <si>
    <t>COLIRRABANO</t>
  </si>
  <si>
    <t>White Vienna</t>
  </si>
  <si>
    <t>CILANTRO</t>
  </si>
  <si>
    <t>ESPINACA</t>
  </si>
  <si>
    <t>Matador</t>
  </si>
  <si>
    <t>New Zealand</t>
  </si>
  <si>
    <t>HABICHUELAS DE INVIERNO</t>
  </si>
  <si>
    <t>Harvester</t>
  </si>
  <si>
    <t>Marconi</t>
  </si>
  <si>
    <t xml:space="preserve">LECHUGA </t>
  </si>
  <si>
    <t xml:space="preserve">Canasta </t>
  </si>
  <si>
    <t>Black Seed Simpson</t>
  </si>
  <si>
    <t>MELON DE AGUA</t>
  </si>
  <si>
    <t>Charleston Gray</t>
  </si>
  <si>
    <t>Crimson Sweet</t>
  </si>
  <si>
    <t>Royal Charleston</t>
  </si>
  <si>
    <t>Crimson Olonga</t>
  </si>
  <si>
    <t>Ashashi Miyako</t>
  </si>
  <si>
    <t>Georgia</t>
  </si>
  <si>
    <t>Mikihili</t>
  </si>
  <si>
    <t>Royal Jubile</t>
  </si>
  <si>
    <t>MELÓN DE CASTILLA</t>
  </si>
  <si>
    <t>Hale best</t>
  </si>
  <si>
    <t>Honey dew</t>
  </si>
  <si>
    <t>NABO</t>
  </si>
  <si>
    <t>Purple Top</t>
  </si>
  <si>
    <t>PEPINILLO</t>
  </si>
  <si>
    <t xml:space="preserve"> Piccolo Verde D</t>
  </si>
  <si>
    <t xml:space="preserve"> Prestige</t>
  </si>
  <si>
    <t xml:space="preserve"> Spartako</t>
  </si>
  <si>
    <t>PEREJIL</t>
  </si>
  <si>
    <t>Plain</t>
  </si>
  <si>
    <t>Peregil Rizo</t>
  </si>
  <si>
    <t>PIMIENTO TOTAL</t>
  </si>
  <si>
    <t>California Wonder 300</t>
  </si>
  <si>
    <t>Claer</t>
  </si>
  <si>
    <t>QUIMBOMBÓ</t>
  </si>
  <si>
    <t>Clempson Spineless</t>
  </si>
  <si>
    <t>RÁBANO ROJO</t>
  </si>
  <si>
    <t>Scarlet Globe</t>
  </si>
  <si>
    <t>Rojo c/Rabito Blanco</t>
  </si>
  <si>
    <t>RÁBANO BLANCO</t>
  </si>
  <si>
    <t>White Long</t>
  </si>
  <si>
    <t>REMOLACHA</t>
  </si>
  <si>
    <t>Detroit Dark Red</t>
  </si>
  <si>
    <t xml:space="preserve">ZANAHORIA </t>
  </si>
  <si>
    <t>New Kuroda</t>
  </si>
  <si>
    <t xml:space="preserve">TOMATE INDUSTRIA </t>
  </si>
  <si>
    <t xml:space="preserve">ÉRCULES </t>
  </si>
  <si>
    <t>ULISES</t>
  </si>
  <si>
    <t>H-9992  F-1</t>
  </si>
  <si>
    <t>ELGON  F-1</t>
  </si>
  <si>
    <t xml:space="preserve">Namid </t>
  </si>
  <si>
    <t xml:space="preserve">Morelia </t>
  </si>
  <si>
    <t>TOMATE CONSUMO FRESCO</t>
  </si>
  <si>
    <t xml:space="preserve">BOD CAT </t>
  </si>
  <si>
    <t xml:space="preserve">Pawnee </t>
  </si>
  <si>
    <t>PLANTAS MEDICINALES (NOMBRE CIENTIFICO)</t>
  </si>
  <si>
    <t xml:space="preserve">Caléndula (Caléndula officinalis )   </t>
  </si>
  <si>
    <t>Manzanilla (Matricaria recutita)</t>
  </si>
  <si>
    <t xml:space="preserve">Passiflora (Passiflora incarnata )     </t>
  </si>
  <si>
    <t>Llantén (Plantago major)</t>
  </si>
  <si>
    <t>PAPA</t>
  </si>
  <si>
    <t>Papa importada</t>
  </si>
  <si>
    <t>Semilla</t>
  </si>
  <si>
    <t>Urea 46%</t>
  </si>
  <si>
    <t>R E Q U E R I M I E N T O S</t>
  </si>
  <si>
    <t xml:space="preserve"> C A L C U L O S</t>
  </si>
  <si>
    <t>CONSUMO MATERIAL</t>
  </si>
  <si>
    <t>TOTAL</t>
  </si>
  <si>
    <t>NORMA</t>
  </si>
  <si>
    <t>JORNADAS</t>
  </si>
  <si>
    <t>SALARIOS</t>
  </si>
  <si>
    <t>NO.</t>
  </si>
  <si>
    <t>LABORES</t>
  </si>
  <si>
    <t>DESCRIPCION</t>
  </si>
  <si>
    <t>UM</t>
  </si>
  <si>
    <t>PRECIO</t>
  </si>
  <si>
    <t>Gastos generales y de administración</t>
  </si>
  <si>
    <t>MINISTERIO DE LA AGRICULTURA</t>
  </si>
  <si>
    <t>Fecha</t>
  </si>
  <si>
    <t xml:space="preserve">CARTA TECNOLÓGICA AGRÍCOLA </t>
  </si>
  <si>
    <t xml:space="preserve">Confeccionado por: </t>
  </si>
  <si>
    <t>DESGLOSE DE LOS GASTOS DE SALARIO</t>
  </si>
  <si>
    <t>Diesel</t>
  </si>
  <si>
    <t>T/ SALARIAL</t>
  </si>
  <si>
    <t>EQUIP</t>
  </si>
  <si>
    <t>IMPLEM</t>
  </si>
  <si>
    <t>DESCRIP</t>
  </si>
  <si>
    <t>MEC</t>
  </si>
  <si>
    <t>MAN</t>
  </si>
  <si>
    <t>IMP</t>
  </si>
  <si>
    <t>Fila</t>
  </si>
  <si>
    <t xml:space="preserve">Aprobado por:       </t>
  </si>
  <si>
    <t>FECHA</t>
  </si>
  <si>
    <t>Subsolar</t>
  </si>
  <si>
    <t>DESCRIPCIÓN</t>
  </si>
  <si>
    <t>DEPRECIACIÓN ANUAL</t>
  </si>
  <si>
    <t>VIDA UTIL (AÑOS)</t>
  </si>
  <si>
    <t>Confeccionado por</t>
  </si>
  <si>
    <t>Aprobado por</t>
  </si>
  <si>
    <t>Director del INIVIT</t>
  </si>
  <si>
    <t>D/A  D/D</t>
  </si>
  <si>
    <t>Rotura</t>
  </si>
  <si>
    <t>50 KN</t>
  </si>
  <si>
    <t>ADI-3</t>
  </si>
  <si>
    <t>Grada</t>
  </si>
  <si>
    <t>14 KN</t>
  </si>
  <si>
    <t>Cruce</t>
  </si>
  <si>
    <t>Nivelar</t>
  </si>
  <si>
    <t>Alisador</t>
  </si>
  <si>
    <t>Recruce</t>
  </si>
  <si>
    <t>Surcador</t>
  </si>
  <si>
    <t>Riego</t>
  </si>
  <si>
    <t>Aspersor</t>
  </si>
  <si>
    <t>Aplicación</t>
  </si>
  <si>
    <t>Manual</t>
  </si>
  <si>
    <t>Mochila</t>
  </si>
  <si>
    <t>Jolongo</t>
  </si>
  <si>
    <t>Cultivo</t>
  </si>
  <si>
    <t>Limp hilo</t>
  </si>
  <si>
    <t>Guataca</t>
  </si>
  <si>
    <t>Machete</t>
  </si>
  <si>
    <t>Deshoje</t>
  </si>
  <si>
    <t>Herbicida</t>
  </si>
  <si>
    <t>Desmane</t>
  </si>
  <si>
    <t>Cosecha</t>
  </si>
  <si>
    <t>Rendimiento</t>
  </si>
  <si>
    <t>t/ha</t>
  </si>
  <si>
    <t>Tecnología:</t>
  </si>
  <si>
    <t>18=10x16x8</t>
  </si>
  <si>
    <t>19=10x17x8</t>
  </si>
  <si>
    <t>22=15+18+19</t>
  </si>
  <si>
    <t>Agua</t>
  </si>
  <si>
    <t>Urea</t>
  </si>
  <si>
    <t>Leopard</t>
  </si>
  <si>
    <t>Glyphosate</t>
  </si>
  <si>
    <t>CANT</t>
  </si>
  <si>
    <t>Norma en 8 horas</t>
  </si>
  <si>
    <t>15=13X14</t>
  </si>
  <si>
    <t>Energía eléctrica</t>
  </si>
  <si>
    <t>lt</t>
  </si>
  <si>
    <t>kg</t>
  </si>
  <si>
    <t>Obrero agrícola</t>
  </si>
  <si>
    <t>O</t>
  </si>
  <si>
    <t>Semillas</t>
  </si>
  <si>
    <t>TOTAL GASTOS</t>
  </si>
  <si>
    <t>Boniato</t>
  </si>
  <si>
    <t>14=12X13</t>
  </si>
  <si>
    <t>15=7/8</t>
  </si>
  <si>
    <t>16=15X(9+10)X8</t>
  </si>
  <si>
    <t xml:space="preserve">PRODUCTO: Boniato         </t>
  </si>
  <si>
    <t>Siembra</t>
  </si>
  <si>
    <t>Asperjadora</t>
  </si>
  <si>
    <t>Resiembra</t>
  </si>
  <si>
    <t>Remolque</t>
  </si>
  <si>
    <t>Aporque</t>
  </si>
  <si>
    <t>Resaque</t>
  </si>
  <si>
    <t>ha</t>
  </si>
  <si>
    <t>ton</t>
  </si>
  <si>
    <t>qq</t>
  </si>
  <si>
    <t>OTROS GASTOS FINANCIEROS</t>
  </si>
  <si>
    <t>CULTIVO</t>
  </si>
  <si>
    <t>GASTO TOTAL</t>
  </si>
  <si>
    <t>DE ELLO CUC</t>
  </si>
  <si>
    <t>VIANDAS</t>
  </si>
  <si>
    <t>Yuca</t>
  </si>
  <si>
    <t>Plátano Fruta</t>
  </si>
  <si>
    <t xml:space="preserve">Depreciación  = Valor del medio/ vida útil (5 años) </t>
  </si>
  <si>
    <t>1 cab  120000 pesos e/ 5 años = un año (platano y frutales)</t>
  </si>
  <si>
    <t>Interés bancario= 6% del total de gastos / 365 días x los días del cultivo  (CUP) Y 10% CUC)</t>
  </si>
  <si>
    <t>Malanga colocasia</t>
  </si>
  <si>
    <t>Valor s/ficha</t>
  </si>
  <si>
    <t>%</t>
  </si>
  <si>
    <t>Total</t>
  </si>
  <si>
    <t>CUC</t>
  </si>
  <si>
    <t>Seguro = % del valor de la producción</t>
  </si>
  <si>
    <t>AID-3</t>
  </si>
  <si>
    <t xml:space="preserve">Grada </t>
  </si>
  <si>
    <t>Media</t>
  </si>
  <si>
    <t>Tiller</t>
  </si>
  <si>
    <t>Transp. Fert.</t>
  </si>
  <si>
    <t>Surcar y fertil.</t>
  </si>
  <si>
    <t>Fertilizador S</t>
  </si>
  <si>
    <t>Prep. Semilla</t>
  </si>
  <si>
    <t xml:space="preserve">Manual </t>
  </si>
  <si>
    <t>Selección</t>
  </si>
  <si>
    <t>10</t>
  </si>
  <si>
    <t>Picar S.</t>
  </si>
  <si>
    <t>11</t>
  </si>
  <si>
    <t>Tratamiento fito.</t>
  </si>
  <si>
    <t>12</t>
  </si>
  <si>
    <t>Embasar</t>
  </si>
  <si>
    <t>13</t>
  </si>
  <si>
    <t>Riego (mine)</t>
  </si>
  <si>
    <t>14</t>
  </si>
  <si>
    <t>Transp. Semilla</t>
  </si>
  <si>
    <t>15</t>
  </si>
  <si>
    <t>Part y Rep.</t>
  </si>
  <si>
    <t>Arado y vertedera</t>
  </si>
  <si>
    <t>16</t>
  </si>
  <si>
    <t>Plantar y Tap.</t>
  </si>
  <si>
    <t>17</t>
  </si>
  <si>
    <t>Riego vivo</t>
  </si>
  <si>
    <t>18</t>
  </si>
  <si>
    <t>19</t>
  </si>
  <si>
    <t>20</t>
  </si>
  <si>
    <t>21</t>
  </si>
  <si>
    <t>22</t>
  </si>
  <si>
    <t>23</t>
  </si>
  <si>
    <t>Cultivador</t>
  </si>
  <si>
    <t>24</t>
  </si>
  <si>
    <t>25</t>
  </si>
  <si>
    <t>Guataquea</t>
  </si>
  <si>
    <t>26</t>
  </si>
  <si>
    <t xml:space="preserve">Riego </t>
  </si>
  <si>
    <t>27</t>
  </si>
  <si>
    <t xml:space="preserve">Cultivo </t>
  </si>
  <si>
    <t>28</t>
  </si>
  <si>
    <t>29</t>
  </si>
  <si>
    <t>30</t>
  </si>
  <si>
    <t>31</t>
  </si>
  <si>
    <t>32</t>
  </si>
  <si>
    <t>33</t>
  </si>
  <si>
    <t>34</t>
  </si>
  <si>
    <t xml:space="preserve">Fertilizante 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</si>
  <si>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</si>
  <si>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</si>
  <si>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</si>
  <si>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</si>
  <si>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</si>
  <si>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</si>
  <si>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</si>
  <si>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</si>
  <si>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</si>
  <si>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Pantalla</t>
  </si>
  <si>
    <t>44</t>
  </si>
  <si>
    <t>45</t>
  </si>
  <si>
    <t>Trans. Fert.</t>
  </si>
  <si>
    <t>46</t>
  </si>
  <si>
    <t xml:space="preserve">Fertilización </t>
  </si>
  <si>
    <t>47</t>
  </si>
  <si>
    <t>48</t>
  </si>
  <si>
    <t>49</t>
  </si>
  <si>
    <t>Aplic. de herb.</t>
  </si>
  <si>
    <t>50</t>
  </si>
  <si>
    <t>51</t>
  </si>
  <si>
    <t>52</t>
  </si>
  <si>
    <t>53</t>
  </si>
  <si>
    <t>54</t>
  </si>
  <si>
    <t>Selec. Negativa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</si>
  <si>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</si>
  <si>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</si>
  <si>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</si>
  <si>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</si>
  <si>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</si>
  <si>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</si>
  <si>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</si>
  <si>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</si>
  <si>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</si>
  <si>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</si>
  <si>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</si>
  <si>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</si>
  <si>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</si>
  <si>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</si>
  <si>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</si>
  <si>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</si>
  <si>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</si>
  <si>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</si>
  <si>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</si>
  <si>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</si>
  <si>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</si>
  <si>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</si>
  <si>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</si>
  <si>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</si>
  <si>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</si>
  <si>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</si>
  <si>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</si>
  <si>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</si>
  <si>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</si>
  <si>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</si>
  <si>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Acarreo</t>
  </si>
  <si>
    <t>Carreta</t>
  </si>
  <si>
    <t>85</t>
  </si>
  <si>
    <t>86</t>
  </si>
  <si>
    <t>87</t>
  </si>
  <si>
    <t>T</t>
  </si>
  <si>
    <t>t</t>
  </si>
  <si>
    <t>Trichoderma</t>
  </si>
  <si>
    <t>Gesagard</t>
  </si>
  <si>
    <t>Mullir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</si>
  <si>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</si>
  <si>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</si>
  <si>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</si>
  <si>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</si>
  <si>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</si>
  <si>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</si>
  <si>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</si>
  <si>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</si>
  <si>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</si>
  <si>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Finale</t>
  </si>
  <si>
    <t xml:space="preserve">INTERÉS BANCARIO </t>
  </si>
  <si>
    <t>CUP</t>
  </si>
  <si>
    <t>Consumo de energía para riego = 53 kw x 47 riegos</t>
  </si>
  <si>
    <t>14kn</t>
  </si>
  <si>
    <t>Consumo de energía para riego = 53 kw x 38 riegos</t>
  </si>
  <si>
    <t>Trasp .Sem</t>
  </si>
  <si>
    <t>Prep . Sem</t>
  </si>
  <si>
    <t>Partir y contrap</t>
  </si>
  <si>
    <t>Plantar</t>
  </si>
  <si>
    <t>Carga y Trasport</t>
  </si>
  <si>
    <t>Aplicación Bacilus</t>
  </si>
  <si>
    <t>Trichogramma</t>
  </si>
  <si>
    <t>Bacilus Tungieric</t>
  </si>
  <si>
    <t>Plátano Burro</t>
  </si>
  <si>
    <t>SEGURO</t>
  </si>
  <si>
    <t>Plátano burro</t>
  </si>
  <si>
    <t>Aplicación herbicida</t>
  </si>
  <si>
    <t>Tamarón (litro)</t>
  </si>
  <si>
    <t>Cipermetrina</t>
  </si>
  <si>
    <t>17=14+16</t>
  </si>
  <si>
    <t>Surcar y fertil.(FC 2:1:3)</t>
  </si>
  <si>
    <t>Fertilizador Surc.</t>
  </si>
  <si>
    <t xml:space="preserve">Arado y vert </t>
  </si>
  <si>
    <t>Aspesor BP</t>
  </si>
  <si>
    <t>Aplic.Herb. (Gesagard 3L/ha)</t>
  </si>
  <si>
    <t>Aspersor BP</t>
  </si>
  <si>
    <t>Preparar Varetas</t>
  </si>
  <si>
    <t>Mptos</t>
  </si>
  <si>
    <t>MVareta</t>
  </si>
  <si>
    <t>Consumo de energía para riego = 53 kw x 22 riegos</t>
  </si>
  <si>
    <t>Medios biológicos</t>
  </si>
  <si>
    <t>Mu</t>
  </si>
  <si>
    <t>20 KN</t>
  </si>
  <si>
    <t>Subsolador</t>
  </si>
  <si>
    <t xml:space="preserve">Surcar </t>
  </si>
  <si>
    <t>Transp. Mat. Orgánica</t>
  </si>
  <si>
    <t>Aplic. Mat. Org.</t>
  </si>
  <si>
    <t>Plantar y Tapar</t>
  </si>
  <si>
    <t>Riego (vivo)</t>
  </si>
  <si>
    <t>Aplicar herbic.(Gesapax 2,5kg)</t>
  </si>
  <si>
    <t>Desyeme (Deshije)</t>
  </si>
  <si>
    <t>Transp. Fertiliz.</t>
  </si>
  <si>
    <t>Fertilizar (Urea 0,25t)</t>
  </si>
  <si>
    <t>Fertilizar (ClK 1,5t)</t>
  </si>
  <si>
    <t>Aplicar herbic.(Glifosate 4Lit.)</t>
  </si>
  <si>
    <t>Aplicar herbic.(Finale 2Lit.)</t>
  </si>
  <si>
    <t>94</t>
  </si>
  <si>
    <t>97</t>
  </si>
  <si>
    <t>102</t>
  </si>
  <si>
    <t>104</t>
  </si>
  <si>
    <t>105</t>
  </si>
  <si>
    <t>106</t>
  </si>
  <si>
    <t>107</t>
  </si>
  <si>
    <t>111</t>
  </si>
  <si>
    <t>117</t>
  </si>
  <si>
    <t>123</t>
  </si>
  <si>
    <t>Despampanado</t>
  </si>
  <si>
    <t>124</t>
  </si>
  <si>
    <t>Msemillas</t>
  </si>
  <si>
    <t>Doblete (lt)</t>
  </si>
  <si>
    <t>Finale (lt)</t>
  </si>
  <si>
    <t>Gesapax (kg)</t>
  </si>
  <si>
    <t>Gliphosate (lt)</t>
  </si>
  <si>
    <t>CIK (t)</t>
  </si>
  <si>
    <t>Urea (t)</t>
  </si>
  <si>
    <t>92</t>
  </si>
  <si>
    <t>95</t>
  </si>
  <si>
    <t>100</t>
  </si>
  <si>
    <t>103</t>
  </si>
  <si>
    <t>108</t>
  </si>
  <si>
    <t>113</t>
  </si>
  <si>
    <t>120</t>
  </si>
  <si>
    <t xml:space="preserve">PRODUCTO: Plátano Burro         </t>
  </si>
  <si>
    <t>CLK (t)</t>
  </si>
  <si>
    <t>Consumo de energía para riego = 53 kw x 32 riegos</t>
  </si>
  <si>
    <t>Aplicar herbic.</t>
  </si>
  <si>
    <t>Aplicar herbic</t>
  </si>
  <si>
    <t xml:space="preserve">Fertilizar </t>
  </si>
  <si>
    <t>88</t>
  </si>
  <si>
    <t>89</t>
  </si>
  <si>
    <t>90</t>
  </si>
  <si>
    <t>91</t>
  </si>
  <si>
    <t>93</t>
  </si>
  <si>
    <t>96</t>
  </si>
  <si>
    <t>98</t>
  </si>
  <si>
    <t>99</t>
  </si>
  <si>
    <t>101</t>
  </si>
  <si>
    <t>109</t>
  </si>
  <si>
    <t>110</t>
  </si>
  <si>
    <t>112</t>
  </si>
  <si>
    <t>114</t>
  </si>
  <si>
    <t>115</t>
  </si>
  <si>
    <t>116</t>
  </si>
  <si>
    <t>118</t>
  </si>
  <si>
    <t>119</t>
  </si>
  <si>
    <t>121</t>
  </si>
  <si>
    <t>122</t>
  </si>
  <si>
    <t>125</t>
  </si>
  <si>
    <t>VALOR DEL MB</t>
  </si>
  <si>
    <t>MENSUAL</t>
  </si>
  <si>
    <t>POR HORA</t>
  </si>
  <si>
    <t>Tractor</t>
  </si>
  <si>
    <t>Implementos</t>
  </si>
  <si>
    <t>SERVICIO</t>
  </si>
  <si>
    <t>HORAS POR JORNADA</t>
  </si>
  <si>
    <t>COEFICIENTE</t>
  </si>
  <si>
    <t>DEPRECIACIÓN</t>
  </si>
  <si>
    <t>MANTENIMIENTO</t>
  </si>
  <si>
    <t>REPARACIÓN. CORRIENTE</t>
  </si>
  <si>
    <t>Rotura, cruce o recruce</t>
  </si>
  <si>
    <t>Con tractor de 14 kn e implemento ADI-3</t>
  </si>
  <si>
    <t>Con tractor de 14 kn y grada 965 kg</t>
  </si>
  <si>
    <t>Alisar</t>
  </si>
  <si>
    <t>Con tractor de 14 kn e implemento Land plane</t>
  </si>
  <si>
    <t>Surcar</t>
  </si>
  <si>
    <t>Con tractor de 14 kn y surcador cultivador de 3 organos (SA-3)</t>
  </si>
  <si>
    <t>Gesagard (lt)</t>
  </si>
  <si>
    <t>Agil (lt)</t>
  </si>
  <si>
    <t>Envase y beneficio</t>
  </si>
  <si>
    <t>Gliphosate(lt)</t>
  </si>
  <si>
    <t>Transporte tubos</t>
  </si>
  <si>
    <t>Riego (mine) T. Tubos</t>
  </si>
  <si>
    <t>Riego vivo (t.tubos)</t>
  </si>
  <si>
    <t>Trichoderma (kg)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</si>
  <si>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</si>
  <si>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</si>
  <si>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</si>
  <si>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</si>
  <si>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</si>
  <si>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</si>
  <si>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</si>
  <si>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</si>
  <si>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</si>
  <si>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</si>
  <si>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</si>
  <si>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</si>
  <si>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</si>
  <si>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</si>
  <si>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</si>
  <si>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Riego (vivo) T. tubos</t>
  </si>
  <si>
    <t>Riego T. tubos</t>
  </si>
  <si>
    <t>Transporte de tubos</t>
  </si>
  <si>
    <t>Riego (mine) T. tubos</t>
  </si>
  <si>
    <t>Riego vivo T tubos</t>
  </si>
  <si>
    <t>Consumo de energía para riego = 57 kw x 59 riegos</t>
  </si>
  <si>
    <t>Riego (mine) Transp. Tubos</t>
  </si>
  <si>
    <t>Riego (vivo) transp. Tubos</t>
  </si>
  <si>
    <t>Transporte de tubos de riego</t>
  </si>
  <si>
    <t>Cloruro de potasio (t)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</si>
  <si>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</si>
  <si>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</si>
  <si>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</si>
  <si>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</si>
  <si>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</si>
  <si>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</si>
  <si>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</si>
  <si>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</si>
  <si>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</si>
  <si>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</si>
  <si>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</si>
  <si>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</si>
  <si>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</si>
  <si>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</si>
  <si>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</si>
  <si>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</si>
  <si>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</si>
  <si>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</si>
  <si>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</si>
  <si>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</si>
  <si>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</si>
  <si>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</si>
  <si>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</si>
  <si>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</si>
  <si>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</si>
  <si>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</si>
  <si>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Consumo de energía para riego = 53 kw x 58 riegos</t>
  </si>
  <si>
    <t>Plátano fruta extradenso</t>
  </si>
  <si>
    <t xml:space="preserve">  Especialista</t>
  </si>
  <si>
    <t>Director de Precios MINAG</t>
  </si>
  <si>
    <t>MININISTERIO DE LA AGRICULTURA</t>
  </si>
  <si>
    <t>Plátano vianda</t>
  </si>
  <si>
    <t>F.Completa</t>
  </si>
  <si>
    <t>F. Completa</t>
  </si>
  <si>
    <t>Otros gastos directos</t>
  </si>
  <si>
    <t>Gastos de distribución y ventas</t>
  </si>
  <si>
    <t>17= 14+16</t>
  </si>
  <si>
    <t>UM: ha</t>
  </si>
  <si>
    <t>l</t>
  </si>
  <si>
    <t>SEMILLAS</t>
  </si>
  <si>
    <t>Impuesto sobre las ventas</t>
  </si>
  <si>
    <t xml:space="preserve">LISTADO DE PRECIOS DE INSUMOS SIN SUBSIDIO </t>
  </si>
  <si>
    <t>PLAGUICIDAS</t>
  </si>
  <si>
    <t>No.</t>
  </si>
  <si>
    <t>Firmas</t>
  </si>
  <si>
    <t xml:space="preserve">Envase </t>
  </si>
  <si>
    <t>Embalaje</t>
  </si>
  <si>
    <t>Costo en CUC</t>
  </si>
  <si>
    <t>Margen comercial Grupo 9</t>
  </si>
  <si>
    <t>Gasto de transportación</t>
  </si>
  <si>
    <t>Costo en CUP</t>
  </si>
  <si>
    <t>PRECIO FORMADO C/ SUBSIDIO</t>
  </si>
  <si>
    <t>Precio de venta minorista (CUP)</t>
  </si>
  <si>
    <t>Redondeando</t>
  </si>
  <si>
    <t>1 decimal</t>
  </si>
  <si>
    <t>Entero</t>
  </si>
  <si>
    <t>Insecticidas</t>
  </si>
  <si>
    <t>INICA</t>
  </si>
  <si>
    <t>kg-l</t>
  </si>
  <si>
    <t>Acefan PS 75%</t>
  </si>
  <si>
    <t>Luxembourg</t>
  </si>
  <si>
    <t>Actara 25% gd</t>
  </si>
  <si>
    <t>Syngenta</t>
  </si>
  <si>
    <t>250 g</t>
  </si>
  <si>
    <t>Actellic 50% EC</t>
  </si>
  <si>
    <t>Babotox 5% Cebo</t>
  </si>
  <si>
    <t xml:space="preserve">Blitz Cebo 0,003% </t>
  </si>
  <si>
    <t>Bayer</t>
  </si>
  <si>
    <t>BT.32</t>
  </si>
  <si>
    <t>Caracolex 5% Cebo</t>
  </si>
  <si>
    <t>Carbaryl 85% PH</t>
  </si>
  <si>
    <t>Cipermetrina 10% CE</t>
  </si>
  <si>
    <t>Cloropirifos CE 48 Desolarizado</t>
  </si>
  <si>
    <t>Otros</t>
  </si>
  <si>
    <t>Confidor 70% WG</t>
  </si>
  <si>
    <t>Curyom CE 550</t>
  </si>
  <si>
    <t>Decis CE 100</t>
  </si>
  <si>
    <t>Diazinon 60% EC Diazol</t>
  </si>
  <si>
    <t>M. Agan</t>
  </si>
  <si>
    <t>Engeo SC 247</t>
  </si>
  <si>
    <t>Envidor 24% SC</t>
  </si>
  <si>
    <t>Regent 200</t>
  </si>
  <si>
    <t>Galil SC 300</t>
  </si>
  <si>
    <t>Gaucho 70 WS (gr/k)</t>
  </si>
  <si>
    <t>136 g</t>
  </si>
  <si>
    <t>Gaucho MT FS 390</t>
  </si>
  <si>
    <t xml:space="preserve">10 g </t>
  </si>
  <si>
    <t>Gilan 20% LS</t>
  </si>
  <si>
    <t>Karate 5% EC</t>
  </si>
  <si>
    <t>Kumulus  80% GD</t>
  </si>
  <si>
    <t>BASF</t>
  </si>
  <si>
    <t>Larvin 37,5% CS</t>
  </si>
  <si>
    <t>Malathión 57% EC</t>
  </si>
  <si>
    <t>Match CE 5</t>
  </si>
  <si>
    <t>Mavrik EW 24</t>
  </si>
  <si>
    <t>Metamidofos 60 EC</t>
  </si>
  <si>
    <t>Methil Parathion 50% EC</t>
  </si>
  <si>
    <t>Methomyl 20% LS</t>
  </si>
  <si>
    <t>Mitigan 18,5% EC</t>
  </si>
  <si>
    <t>Monarca 11,25 SE</t>
  </si>
  <si>
    <t>Movento 150 OD</t>
  </si>
  <si>
    <t>Muralla Delta190 OD</t>
  </si>
  <si>
    <t>Novel CE 2,5</t>
  </si>
  <si>
    <t>Oberon 24% CS</t>
  </si>
  <si>
    <t>Ocítricos CE 20</t>
  </si>
  <si>
    <t>Pirate 24 EC</t>
  </si>
  <si>
    <t>Plural 20% OD</t>
  </si>
  <si>
    <t>Polo 50 % SC</t>
  </si>
  <si>
    <t>Proclain 1,9% CE</t>
  </si>
  <si>
    <t>Rimon Supra SC 10</t>
  </si>
  <si>
    <t>Dimetoato 40% EC</t>
  </si>
  <si>
    <t>Seizer 10% EC</t>
  </si>
  <si>
    <t>Sierra  50% CS</t>
  </si>
  <si>
    <t xml:space="preserve">Thiodan 35 SC </t>
  </si>
  <si>
    <t>Thiovit Jet 80% GD</t>
  </si>
  <si>
    <t>Titan 20 EC</t>
  </si>
  <si>
    <t>Fungicidas</t>
  </si>
  <si>
    <t>Acrobat MZ 69% PH</t>
  </si>
  <si>
    <t>Aliette 80% PH</t>
  </si>
  <si>
    <t>Amistar 25 EC</t>
  </si>
  <si>
    <t>Amistar Xtra 280 SC</t>
  </si>
  <si>
    <t>Antracol 80% PH</t>
  </si>
  <si>
    <t>Bayfidan Duo 1,4% GD</t>
  </si>
  <si>
    <t>Benomilo  50% PH</t>
  </si>
  <si>
    <t>Agria</t>
  </si>
  <si>
    <t>Calixin 86% OL</t>
  </si>
  <si>
    <t>Clortosip 50% EC</t>
  </si>
  <si>
    <t>Isagro</t>
  </si>
  <si>
    <t>Cosmos 62,5% SC</t>
  </si>
  <si>
    <t>Cuproflow 35,7 SC</t>
  </si>
  <si>
    <t>Curacarb  50% SC</t>
  </si>
  <si>
    <t>Domark  100</t>
  </si>
  <si>
    <t>Tamaron</t>
  </si>
  <si>
    <t>Eminente Pro 27,5% PH</t>
  </si>
  <si>
    <t>Folpan 80% PH</t>
  </si>
  <si>
    <t>Infinito 68,75% SC</t>
  </si>
  <si>
    <t>Juwell 25% SC</t>
  </si>
  <si>
    <t>Mancozeb 80 PH</t>
  </si>
  <si>
    <t>Merpan 80% PH</t>
  </si>
  <si>
    <t>Mirage 45 CE</t>
  </si>
  <si>
    <t>Orius EC 25</t>
  </si>
  <si>
    <t>Positron Duo 69% PH</t>
  </si>
  <si>
    <t>Previcur Energy  84% LS</t>
  </si>
  <si>
    <t>Ridomil Gold Combi 45% GD</t>
  </si>
  <si>
    <t>Ridomil Gold Combi 68% GD</t>
  </si>
  <si>
    <t>S.Meteoro EC30</t>
  </si>
  <si>
    <t>Score 255 EC</t>
  </si>
  <si>
    <t>Shepere 26,75% EC</t>
  </si>
  <si>
    <t>Shepere Mach 53,5% SC</t>
  </si>
  <si>
    <t>Silvacur C  30 EC</t>
  </si>
  <si>
    <t>Supreme EW40</t>
  </si>
  <si>
    <t>Taspa 50% EC</t>
  </si>
  <si>
    <t>Tilt 25% EC</t>
  </si>
  <si>
    <t>Tirán 80% PH</t>
  </si>
  <si>
    <t>CAMC</t>
  </si>
  <si>
    <t>Verita GD (4,44 + 66,7)</t>
  </si>
  <si>
    <t>Vincare 51,75% GD</t>
  </si>
  <si>
    <t>Yaba M 66% GD</t>
  </si>
  <si>
    <t>Zineb 75 PH</t>
  </si>
  <si>
    <t>Agil CE 10</t>
  </si>
  <si>
    <t>Basagran 48% CS</t>
  </si>
  <si>
    <t xml:space="preserve">Bromacil 80% </t>
  </si>
  <si>
    <t>Devrinol 45 CS</t>
  </si>
  <si>
    <t>IPU</t>
  </si>
  <si>
    <t>Hierbatox 80% PH</t>
  </si>
  <si>
    <t>Doblete 20% LS</t>
  </si>
  <si>
    <t>Dual  Gold 960 EC</t>
  </si>
  <si>
    <t>Envoke GD 75.</t>
  </si>
  <si>
    <t>Finale 15% CS</t>
  </si>
  <si>
    <t>Flex 25% EC</t>
  </si>
  <si>
    <t>Furore 4,5 EC</t>
  </si>
  <si>
    <t>Fusilade Forte 15% EC</t>
  </si>
  <si>
    <t xml:space="preserve">Galigan 25 EC </t>
  </si>
  <si>
    <t>Ametrol Fácil 80% PH</t>
  </si>
  <si>
    <t>Glyphosate 48% EC</t>
  </si>
  <si>
    <t>Fed.  Pharmac.</t>
  </si>
  <si>
    <t>Leopard 1,8 CE</t>
  </si>
  <si>
    <t>Matabú 20% LS</t>
  </si>
  <si>
    <t>Melfuron 60% PH</t>
  </si>
  <si>
    <t>Merlin 75% GD</t>
  </si>
  <si>
    <t>Herbicidas</t>
  </si>
  <si>
    <t>Neptum 25% EW</t>
  </si>
  <si>
    <t>Nominee SC 40</t>
  </si>
  <si>
    <t>MEIWA</t>
  </si>
  <si>
    <t>Oxiphen 24% SC</t>
  </si>
  <si>
    <t>Paraquat Super 27,6% LS</t>
  </si>
  <si>
    <t>Pastoral SC 40</t>
  </si>
  <si>
    <t>Pirasulfuron 10% PH</t>
  </si>
  <si>
    <t>Potreron 212</t>
  </si>
  <si>
    <t>Prime + CR 12,5</t>
  </si>
  <si>
    <t>Prometrex 50% CS</t>
  </si>
  <si>
    <t>Ranger 51,39% LS</t>
  </si>
  <si>
    <t>Ivorychem</t>
  </si>
  <si>
    <t>Rapsode  11% EW</t>
  </si>
  <si>
    <t>Reglone 20% LS</t>
  </si>
  <si>
    <t>Rice Star 6,9% CE</t>
  </si>
  <si>
    <t>Sal Amina 72% EC</t>
  </si>
  <si>
    <t>Sencor 70% PH</t>
  </si>
  <si>
    <t>Siboney 40% EC</t>
  </si>
  <si>
    <t>Sofit 300 EC</t>
  </si>
  <si>
    <t>Solito 320 EC</t>
  </si>
  <si>
    <t>Tetris 20% EC</t>
  </si>
  <si>
    <t>Treflan 48 EC</t>
  </si>
  <si>
    <t>Adherente 810</t>
  </si>
  <si>
    <t>AL-100</t>
  </si>
  <si>
    <t xml:space="preserve">Break Truc </t>
  </si>
  <si>
    <t>Celest</t>
  </si>
  <si>
    <t>Celest Top 312,5 FS</t>
  </si>
  <si>
    <t>Cultar</t>
  </si>
  <si>
    <t>Dash</t>
  </si>
  <si>
    <t>Formol</t>
  </si>
  <si>
    <t>Regulux  SL</t>
  </si>
  <si>
    <t>Sulfato de  Cu</t>
  </si>
  <si>
    <t>SCPA</t>
  </si>
  <si>
    <t>Sulfatron</t>
  </si>
  <si>
    <t>Yunta 246 FS</t>
  </si>
  <si>
    <t>FERTILIZANTES</t>
  </si>
  <si>
    <t>PRECIO FORMADO C/ SUBSIDIO   (t)</t>
  </si>
  <si>
    <t>Fisico (t)</t>
  </si>
  <si>
    <t xml:space="preserve">COSTO EN CUC (t)            </t>
  </si>
  <si>
    <t>Precio de venta minorista</t>
  </si>
  <si>
    <t xml:space="preserve">COSTO EN CUC (kg)            </t>
  </si>
  <si>
    <t>Margen comercial grupo 9</t>
  </si>
  <si>
    <t xml:space="preserve">Precio de venta minorista CUP </t>
  </si>
  <si>
    <t>kg/l</t>
  </si>
  <si>
    <t>Acido borico</t>
  </si>
  <si>
    <t>Acido fosforico</t>
  </si>
  <si>
    <t>Amoníaco</t>
  </si>
  <si>
    <t>Baifolan (T)</t>
  </si>
  <si>
    <t>Basfoliar ( foliflo)</t>
  </si>
  <si>
    <t>Buliten (m litros)</t>
  </si>
  <si>
    <t>Calfruit (m litros)</t>
  </si>
  <si>
    <t>Calibor (l)</t>
  </si>
  <si>
    <t>Cloruro de Potasio</t>
  </si>
  <si>
    <t>Cta humus (m litros)</t>
  </si>
  <si>
    <t>Dap</t>
  </si>
  <si>
    <t>Etaboro (l)</t>
  </si>
  <si>
    <t>Fosfato mono amónico</t>
  </si>
  <si>
    <t>Fosfato mono potásico</t>
  </si>
  <si>
    <t>Istarka de calcio (l)</t>
  </si>
  <si>
    <t>Istarka de de magnesio (l)</t>
  </si>
  <si>
    <t>Kafon cu (m litros)</t>
  </si>
  <si>
    <t>Meristem fe-6 (l)</t>
  </si>
  <si>
    <t>Molibdato de Sodio</t>
  </si>
  <si>
    <t>Molibor</t>
  </si>
  <si>
    <t>Mop</t>
  </si>
  <si>
    <t>Muda extra (m litros)</t>
  </si>
  <si>
    <t>Nitrato de Magnesio</t>
  </si>
  <si>
    <t>Nitrato de Potasio</t>
  </si>
  <si>
    <t>NPK 12-12-17-5</t>
  </si>
  <si>
    <t>NPK 13-3-43</t>
  </si>
  <si>
    <t>NPK 13-6-40 Soluble</t>
  </si>
  <si>
    <t>NPK 8-24-16</t>
  </si>
  <si>
    <t>NPK 9-13-17</t>
  </si>
  <si>
    <t xml:space="preserve"> Cta stimulat (m litros)</t>
  </si>
  <si>
    <t>NPK 14-0-30</t>
  </si>
  <si>
    <t>NPK 14-6-16-3</t>
  </si>
  <si>
    <t>NPK 18-18-18 Soluble</t>
  </si>
  <si>
    <t>NPK 18-6-18 Soluble</t>
  </si>
  <si>
    <t>NPK 20-8-20-0</t>
  </si>
  <si>
    <t>NPK 5-11-5-2,5</t>
  </si>
  <si>
    <t>NPK 9-45-15 Soluble</t>
  </si>
  <si>
    <t>NPK 9-45-18 Soluble</t>
  </si>
  <si>
    <t>NPK Importación 10-10-5</t>
  </si>
  <si>
    <t>NPK Importación 11-5-14-3</t>
  </si>
  <si>
    <t>NPK Importacion 5-5-24-3</t>
  </si>
  <si>
    <t>NPK Importación 7-14-7</t>
  </si>
  <si>
    <t>Sal Cuprica (Cu+2)</t>
  </si>
  <si>
    <t>Sal de Zinc (ZN+2)</t>
  </si>
  <si>
    <t>Sal de Zinc(ZN+2)</t>
  </si>
  <si>
    <t>Sal Ferrosa de Acido</t>
  </si>
  <si>
    <t>SEQUESTRENE</t>
  </si>
  <si>
    <t>STYMULANT-4 (L)</t>
  </si>
  <si>
    <t>Sulfato de Amonio</t>
  </si>
  <si>
    <t>Sulfato de Magnesio</t>
  </si>
  <si>
    <t>Sulfato de Manganeso</t>
  </si>
  <si>
    <t>Sulfato de Potasio</t>
  </si>
  <si>
    <t>Sulfato de Zinc</t>
  </si>
  <si>
    <t>Sulfato Ferroso</t>
  </si>
  <si>
    <t>Superfosfato Triple</t>
  </si>
  <si>
    <t>TETRABORATO DE SODIO</t>
  </si>
  <si>
    <t>Turba Rubia  Litros</t>
  </si>
  <si>
    <t>VIGORTEN (M LITROS)</t>
  </si>
  <si>
    <t>13-40-13+me</t>
  </si>
  <si>
    <t>15-5-30 o 20-5-30+me</t>
  </si>
  <si>
    <t>19-19-19 o 18-18-18 +me</t>
  </si>
  <si>
    <t xml:space="preserve">                                                   Ministerio de Finanzas y Precios</t>
  </si>
  <si>
    <t>Resolución No. 173-2014</t>
  </si>
  <si>
    <t xml:space="preserve">                                           Resolución No.173-2014</t>
  </si>
  <si>
    <t xml:space="preserve">Descripción </t>
  </si>
  <si>
    <t>Precio</t>
  </si>
  <si>
    <t xml:space="preserve">Básica </t>
  </si>
  <si>
    <t xml:space="preserve">Registrada </t>
  </si>
  <si>
    <t xml:space="preserve">Certificada </t>
  </si>
  <si>
    <t xml:space="preserve">Fiscalizada </t>
  </si>
  <si>
    <t xml:space="preserve">Esquejes de Boniato </t>
  </si>
  <si>
    <t xml:space="preserve">Millar </t>
  </si>
  <si>
    <t>Varetas de Yuca</t>
  </si>
  <si>
    <t>Millar</t>
  </si>
  <si>
    <t xml:space="preserve">Rizomas de Plátano </t>
  </si>
  <si>
    <t xml:space="preserve">U </t>
  </si>
  <si>
    <t>Ñame completo</t>
  </si>
  <si>
    <t>Ñame por bulbillo</t>
  </si>
  <si>
    <t>Abalone 1.8% EC</t>
  </si>
  <si>
    <t>ENVASES</t>
  </si>
  <si>
    <t>Materia Prima y materiales e insumos directos</t>
  </si>
  <si>
    <t>Insumos</t>
  </si>
  <si>
    <t>De ello estimulación</t>
  </si>
  <si>
    <t>Gastos asociados a la producción</t>
  </si>
  <si>
    <t>Combustibles</t>
  </si>
  <si>
    <t>Gastos financieros</t>
  </si>
  <si>
    <t>Gastos por financiamiento entregado a la OSDE</t>
  </si>
  <si>
    <t>Gastos de Seguridad Soc a corto plazo</t>
  </si>
  <si>
    <t xml:space="preserve">Contribución a la seguridad social </t>
  </si>
  <si>
    <t>Contribución territorial</t>
  </si>
  <si>
    <t>Impuesto especial a productos</t>
  </si>
  <si>
    <t>Otros gastos autorizados por el MFP</t>
  </si>
  <si>
    <t>.2.1</t>
  </si>
  <si>
    <t>P ACOPIO</t>
  </si>
  <si>
    <t>RENDIMIENTO</t>
  </si>
  <si>
    <t xml:space="preserve">PRODUCTO:  Plátano vianda       </t>
  </si>
  <si>
    <r>
      <t>Aplic.Herb. (Leopa</t>
    </r>
    <r>
      <rPr>
        <sz val="10"/>
        <rFont val="Arial"/>
        <family val="2"/>
      </rPr>
      <t>rd 4L/ha</t>
    </r>
    <r>
      <rPr>
        <sz val="10"/>
        <rFont val="Arial"/>
        <family val="2"/>
      </rPr>
      <t>)</t>
    </r>
  </si>
  <si>
    <r>
      <t>cosecha (</t>
    </r>
    <r>
      <rPr>
        <sz val="10"/>
        <rFont val="Arial"/>
        <family val="2"/>
      </rPr>
      <t>saque</t>
    </r>
    <r>
      <rPr>
        <sz val="10"/>
        <rFont val="Arial"/>
        <family val="2"/>
      </rPr>
      <t>)</t>
    </r>
  </si>
  <si>
    <r>
      <t>Aplicar herbic.(Doblete</t>
    </r>
    <r>
      <rPr>
        <sz val="10"/>
        <rFont val="Arial"/>
        <family val="2"/>
      </rPr>
      <t xml:space="preserve"> 2Lit.</t>
    </r>
    <r>
      <rPr>
        <sz val="10"/>
        <rFont val="Arial"/>
        <family val="2"/>
      </rPr>
      <t>)</t>
    </r>
  </si>
  <si>
    <r>
      <t>Aplicar herbic.(</t>
    </r>
    <r>
      <rPr>
        <sz val="10"/>
        <rFont val="Arial"/>
        <family val="2"/>
      </rPr>
      <t>Finale 2Lit.</t>
    </r>
    <r>
      <rPr>
        <sz val="10"/>
        <rFont val="Arial"/>
        <family val="2"/>
      </rPr>
      <t>)</t>
    </r>
  </si>
  <si>
    <t xml:space="preserve">DESAGREGACION DE INSUMOS FUNDAMENTALES PARA PRODUCCIONES AGRICOLAS </t>
  </si>
  <si>
    <t>PRODUCTO</t>
  </si>
  <si>
    <t>NORMA DE CONSUMO.</t>
  </si>
  <si>
    <t>COSTO</t>
  </si>
  <si>
    <t>DE ELLO EN CUC</t>
  </si>
  <si>
    <t>Fórmula completa</t>
  </si>
  <si>
    <t>Otros materiales</t>
  </si>
  <si>
    <t>Subtotal mat fundamentales</t>
  </si>
  <si>
    <t>Combustibles y energía</t>
  </si>
  <si>
    <t>mm³</t>
  </si>
  <si>
    <t>Energía</t>
  </si>
  <si>
    <t>kw</t>
  </si>
  <si>
    <t>Subtotal combustibles y energía</t>
  </si>
  <si>
    <t>Totales</t>
  </si>
  <si>
    <r>
      <t xml:space="preserve">Aprobado por:      </t>
    </r>
    <r>
      <rPr>
        <i/>
        <sz val="11"/>
        <rFont val="Arial"/>
        <family val="2"/>
      </rPr>
      <t xml:space="preserve"> </t>
    </r>
  </si>
  <si>
    <t>mu</t>
  </si>
  <si>
    <t>Fertilizantes</t>
  </si>
  <si>
    <t>Formula completa</t>
  </si>
  <si>
    <t>Bacilus tungieric</t>
  </si>
  <si>
    <t>mmu</t>
  </si>
  <si>
    <t>Tamarón</t>
  </si>
  <si>
    <r>
      <t xml:space="preserve">Aprobado por:      </t>
    </r>
    <r>
      <rPr>
        <b/>
        <i/>
        <sz val="11"/>
        <rFont val="Arial"/>
        <family val="2"/>
      </rPr>
      <t xml:space="preserve"> </t>
    </r>
  </si>
  <si>
    <t xml:space="preserve">Producto: Plátano vianda </t>
  </si>
  <si>
    <t xml:space="preserve">NORMA DE CONSUMO </t>
  </si>
  <si>
    <t>u</t>
  </si>
  <si>
    <t>Doblete</t>
  </si>
  <si>
    <t>Gesapax 80%</t>
  </si>
  <si>
    <t>Otros gastos materiales</t>
  </si>
  <si>
    <t>Producto: Plátano burro</t>
  </si>
  <si>
    <t>Cloruro de potasio</t>
  </si>
  <si>
    <t xml:space="preserve">Doblete </t>
  </si>
  <si>
    <t xml:space="preserve">Gliphosate </t>
  </si>
  <si>
    <t>Producto:</t>
  </si>
  <si>
    <t xml:space="preserve">Cloruro de potasio </t>
  </si>
  <si>
    <t>Gesapax</t>
  </si>
  <si>
    <t>Gliphosate</t>
  </si>
  <si>
    <t>Subtotal materiales fundamentales</t>
  </si>
  <si>
    <t>Total materia prima y materiales</t>
  </si>
  <si>
    <t>Producto: Boniato</t>
  </si>
  <si>
    <t>NORMA DE CONSUMO POR HA</t>
  </si>
  <si>
    <t>Beauberia</t>
  </si>
  <si>
    <t>Sacos de polipropileno</t>
  </si>
  <si>
    <t>U</t>
  </si>
  <si>
    <t>De ello directos</t>
  </si>
  <si>
    <r>
      <t xml:space="preserve">Aprobado por:      </t>
    </r>
    <r>
      <rPr>
        <i/>
        <sz val="12"/>
        <rFont val="Arial"/>
        <family val="2"/>
      </rPr>
      <t xml:space="preserve"> </t>
    </r>
  </si>
  <si>
    <t>INSUMO</t>
  </si>
  <si>
    <t>NORMA DE CONSUMO POR HA.</t>
  </si>
  <si>
    <t>De ello en CUC</t>
  </si>
  <si>
    <t>Confidor</t>
  </si>
  <si>
    <t>Bacillus</t>
  </si>
  <si>
    <t>Beauveria</t>
  </si>
  <si>
    <t>Verticillum</t>
  </si>
  <si>
    <t>Mearhizium</t>
  </si>
  <si>
    <t>Mancozeb</t>
  </si>
  <si>
    <t>Dicofol</t>
  </si>
  <si>
    <t>Tabaquina</t>
  </si>
  <si>
    <t>Ridomil</t>
  </si>
  <si>
    <t>Pirate</t>
  </si>
  <si>
    <t>Sacos</t>
  </si>
  <si>
    <t>Otros insumos materiales</t>
  </si>
  <si>
    <t>mm3</t>
  </si>
  <si>
    <t>Energía electrica</t>
  </si>
  <si>
    <t xml:space="preserve">Urea </t>
  </si>
  <si>
    <t>Costo por qq</t>
  </si>
  <si>
    <t>PRECIOS DE INSUMOS FUNDAMENTALES</t>
  </si>
  <si>
    <t xml:space="preserve">Precio </t>
  </si>
  <si>
    <t>(CUP)</t>
  </si>
  <si>
    <t>COMBUSTIBLE</t>
  </si>
  <si>
    <t>INSECTICIDAS</t>
  </si>
  <si>
    <t>Abaco CE 1.8</t>
  </si>
  <si>
    <t>Lancer PS 75</t>
  </si>
  <si>
    <t>Actara GD 25*</t>
  </si>
  <si>
    <t>Actellic CE 50</t>
  </si>
  <si>
    <t>Blitz cebo  G 0.003</t>
  </si>
  <si>
    <t>Logos PH 32</t>
  </si>
  <si>
    <t>Cipermetrina CE 10</t>
  </si>
  <si>
    <t>Kohinor GD 70</t>
  </si>
  <si>
    <t>Decis CE10</t>
  </si>
  <si>
    <t>Diazol CE 60</t>
  </si>
  <si>
    <t xml:space="preserve">Engeo SC 247 </t>
  </si>
  <si>
    <t>Envidor  SC 24</t>
  </si>
  <si>
    <t>Albatross SC 24</t>
  </si>
  <si>
    <t>Bi-Mida SC 30</t>
  </si>
  <si>
    <t>Gaucho WS 70</t>
  </si>
  <si>
    <t>Gilan LS 20</t>
  </si>
  <si>
    <t>Karate EC 5</t>
  </si>
  <si>
    <t>Kumulus GD 80</t>
  </si>
  <si>
    <t>Larvin SC 37.5</t>
  </si>
  <si>
    <t>Malathion CE 57</t>
  </si>
  <si>
    <t>Mavrikc EW 24</t>
  </si>
  <si>
    <t>Methamidofos  CS 60</t>
  </si>
  <si>
    <t>Methomex LS 20</t>
  </si>
  <si>
    <t>Mitigan CE 18.5</t>
  </si>
  <si>
    <t>Monarca SE 11.25</t>
  </si>
  <si>
    <t>Movento OD 150</t>
  </si>
  <si>
    <t>Muralla Delta OD 190</t>
  </si>
  <si>
    <t xml:space="preserve">Oberon SC 24 </t>
  </si>
  <si>
    <t>Ocítrico  CE 20</t>
  </si>
  <si>
    <t>Pirate SC 24</t>
  </si>
  <si>
    <t>Plural OD 20</t>
  </si>
  <si>
    <t>Polo SC 50</t>
  </si>
  <si>
    <t>Proclaim CE 1.9</t>
  </si>
  <si>
    <t>Dimetoato CE 40</t>
  </si>
  <si>
    <t>Bifensa CE 10 Seizer</t>
  </si>
  <si>
    <t>Thiovit Jet GD 80</t>
  </si>
  <si>
    <t>Titan CE 20</t>
  </si>
  <si>
    <t xml:space="preserve">  FUNGICIDAS</t>
  </si>
  <si>
    <t>Bolero  PH 69</t>
  </si>
  <si>
    <t>Aliette PH 80</t>
  </si>
  <si>
    <t>Amistar SC 25</t>
  </si>
  <si>
    <t>Amistar Xtra SC 28</t>
  </si>
  <si>
    <t>Antracol PH 70</t>
  </si>
  <si>
    <t>Benolo PH 50</t>
  </si>
  <si>
    <t>Clortosip SC 50</t>
  </si>
  <si>
    <t>Cosmos SC  62.5</t>
  </si>
  <si>
    <t>Calixin  OL 86</t>
  </si>
  <si>
    <t>Odeon SC 720</t>
  </si>
  <si>
    <t>CUProflow SC 37.75</t>
  </si>
  <si>
    <t>Domark  CE 10</t>
  </si>
  <si>
    <t>Eminente Pro  SE 27.5</t>
  </si>
  <si>
    <t>Folpan PH 80</t>
  </si>
  <si>
    <t>Infinito SC 68.75</t>
  </si>
  <si>
    <t>Juwel  SC 25</t>
  </si>
  <si>
    <t>Fortuna PH 80</t>
  </si>
  <si>
    <t>Merpan PH 80</t>
  </si>
  <si>
    <t>Mirage CE 45</t>
  </si>
  <si>
    <t>Orius ECNA 25</t>
  </si>
  <si>
    <t>Positron Duo PH 69</t>
  </si>
  <si>
    <t>Previcur Energy LS 84</t>
  </si>
  <si>
    <t>Ridomil Gold MZ GD 68</t>
  </si>
  <si>
    <t xml:space="preserve">Super Meteoro CE 30 </t>
  </si>
  <si>
    <t>Score CE 25</t>
  </si>
  <si>
    <t>Sphere CE 26.75</t>
  </si>
  <si>
    <t xml:space="preserve">Sphere  Max SC 53.5 </t>
  </si>
  <si>
    <t xml:space="preserve">Silvacur Combi CE 30 </t>
  </si>
  <si>
    <t>Supreme EW 40</t>
  </si>
  <si>
    <t>Taspa CE 500</t>
  </si>
  <si>
    <t>HERBICIDAS</t>
  </si>
  <si>
    <t>Bumper CE 25</t>
  </si>
  <si>
    <t>Tmtd PH 80</t>
  </si>
  <si>
    <t>Verita GD 71.14</t>
  </si>
  <si>
    <t>Vincare GD 51.75</t>
  </si>
  <si>
    <t xml:space="preserve">Yaba M GD 66 </t>
  </si>
  <si>
    <t>Zineb PH 75</t>
  </si>
  <si>
    <t>Basagran LS 48</t>
  </si>
  <si>
    <t xml:space="preserve">Devrinol SC 45 </t>
  </si>
  <si>
    <t>Bioron PH 80</t>
  </si>
  <si>
    <t>Doblete LS 20</t>
  </si>
  <si>
    <t>Dual Gold CE 96</t>
  </si>
  <si>
    <t>Envoke GD 75</t>
  </si>
  <si>
    <t>Finale CS 15</t>
  </si>
  <si>
    <t>Flex CS 25</t>
  </si>
  <si>
    <t>Furore  CE 4.5</t>
  </si>
  <si>
    <t>Fusilade Forte CE 15</t>
  </si>
  <si>
    <t>Galigan CE 24</t>
  </si>
  <si>
    <t>Ametrex SC 50</t>
  </si>
  <si>
    <t>Nasa LS 36</t>
  </si>
  <si>
    <t>Glyphogan   LS 48</t>
  </si>
  <si>
    <t>Glyphos AG LS  48</t>
  </si>
  <si>
    <t>Biokill LS 48</t>
  </si>
  <si>
    <t>Leopard CE 1.8</t>
  </si>
  <si>
    <t>Matabu LS 20</t>
  </si>
  <si>
    <t>Melfuron PH 60</t>
  </si>
  <si>
    <t>Merlin GD 75</t>
  </si>
  <si>
    <t>Neptum  EW 25</t>
  </si>
  <si>
    <t>Nominee  SC 40</t>
  </si>
  <si>
    <t>Paraquat Super LS 27.6</t>
  </si>
  <si>
    <t>Pastoral  SC 40</t>
  </si>
  <si>
    <t>Piraña PH 10</t>
  </si>
  <si>
    <t>Prometrex SC 50</t>
  </si>
  <si>
    <t>Rapsode  EW 11</t>
  </si>
  <si>
    <t>Reglone LS 20</t>
  </si>
  <si>
    <t>Rice Star CE 6.9</t>
  </si>
  <si>
    <t>2.4- Amina LS 72 Bioquin 2.4  DL 72</t>
  </si>
  <si>
    <t>Sofit  CE 30</t>
  </si>
  <si>
    <t>Solito CE 32</t>
  </si>
  <si>
    <t>Tetris CE 20</t>
  </si>
  <si>
    <t>Triflurex CE 48</t>
  </si>
  <si>
    <t>Zino PH 70</t>
  </si>
  <si>
    <t>OTROS PLAGUICIDAS</t>
  </si>
  <si>
    <t>Aherente 810-Codadex pg</t>
  </si>
  <si>
    <t xml:space="preserve">Al 100 </t>
  </si>
  <si>
    <t>Bayfidan Duo GR 1.4</t>
  </si>
  <si>
    <t>Break thru LS 100</t>
  </si>
  <si>
    <t>Celest SC 2.5</t>
  </si>
  <si>
    <t>Celest top  312.5 FS</t>
  </si>
  <si>
    <t>Cultar SC 25</t>
  </si>
  <si>
    <t>Gaucho Mt FS 390</t>
  </si>
  <si>
    <t>Regulux SL</t>
  </si>
  <si>
    <t>Sulfato de Cobre PM 98</t>
  </si>
  <si>
    <t>Yunta FS 246 *</t>
  </si>
  <si>
    <t>Acido bórico</t>
  </si>
  <si>
    <t xml:space="preserve">Bayfolan </t>
  </si>
  <si>
    <t>Basfoliar (foliflo)</t>
  </si>
  <si>
    <t xml:space="preserve">Buliten </t>
  </si>
  <si>
    <t xml:space="preserve">Cafriu </t>
  </si>
  <si>
    <t xml:space="preserve">Calibor </t>
  </si>
  <si>
    <t xml:space="preserve">Cta stimulat </t>
  </si>
  <si>
    <t xml:space="preserve">Etaboro </t>
  </si>
  <si>
    <t xml:space="preserve">Istarka de calcio </t>
  </si>
  <si>
    <t xml:space="preserve">Istarka de de magnesio </t>
  </si>
  <si>
    <t xml:space="preserve">Kafon cu </t>
  </si>
  <si>
    <t xml:space="preserve">Meristem fe-6 </t>
  </si>
  <si>
    <t xml:space="preserve">Muda extra </t>
  </si>
  <si>
    <t>Nitrato de magnesio</t>
  </si>
  <si>
    <t>NPK 13-6-40 soluble</t>
  </si>
  <si>
    <t>NPK 5-11-5-2.5</t>
  </si>
  <si>
    <t>NPK 9-23-16</t>
  </si>
  <si>
    <t xml:space="preserve">NPK 8-24-15 </t>
  </si>
  <si>
    <t>NPK Importación 5-5-24-3</t>
  </si>
  <si>
    <t>Nitrato de amonio</t>
  </si>
  <si>
    <t>Acido nítrico</t>
  </si>
  <si>
    <t>Nitrato de calcio</t>
  </si>
  <si>
    <t>Sal Cúprica (Cu+2)</t>
  </si>
  <si>
    <t>Sal ferrosa de ácido</t>
  </si>
  <si>
    <t>Sequestrene</t>
  </si>
  <si>
    <t>Stymulant-4 (l)</t>
  </si>
  <si>
    <t>Sulfato de amonio</t>
  </si>
  <si>
    <t>Sulfato de magnesio</t>
  </si>
  <si>
    <t>Sulfato de manganeso</t>
  </si>
  <si>
    <t>Sulfato de potasio</t>
  </si>
  <si>
    <t>Sulfato de zinc</t>
  </si>
  <si>
    <t>Sulfato ferroso</t>
  </si>
  <si>
    <t>Superfosfato triple</t>
  </si>
  <si>
    <t>Tetraborato de sodio</t>
  </si>
  <si>
    <t>Turba rubia  litros</t>
  </si>
  <si>
    <t xml:space="preserve">Vigorten </t>
  </si>
  <si>
    <t xml:space="preserve">PIENSOS </t>
  </si>
  <si>
    <t>Avícola</t>
  </si>
  <si>
    <t xml:space="preserve">Toros </t>
  </si>
  <si>
    <t>Vaca lechera</t>
  </si>
  <si>
    <t>Vaca lechera granel</t>
  </si>
  <si>
    <t>Inicio terneros</t>
  </si>
  <si>
    <t>Inicio terneros granel</t>
  </si>
  <si>
    <t>Cereal mezclado reforzado</t>
  </si>
  <si>
    <t>Cereal mezclado reforzado granel</t>
  </si>
  <si>
    <t>Crecimiento ternero</t>
  </si>
  <si>
    <t>Crecimiento ternero granel</t>
  </si>
  <si>
    <t>Concentrado vacuno</t>
  </si>
  <si>
    <t>Concentrado vacuno granel</t>
  </si>
  <si>
    <t xml:space="preserve">Caballos </t>
  </si>
  <si>
    <t>Caballos  granel</t>
  </si>
  <si>
    <t>Ovino caprino lactante</t>
  </si>
  <si>
    <t>Ovino caprino lactante granel</t>
  </si>
  <si>
    <t xml:space="preserve">Perros tp pellets  </t>
  </si>
  <si>
    <t>Perros tp pellets granel</t>
  </si>
  <si>
    <t xml:space="preserve">Perros tp harina </t>
  </si>
  <si>
    <t>Perros tp harina granel.</t>
  </si>
  <si>
    <t xml:space="preserve">Conejo  lactancia pellets </t>
  </si>
  <si>
    <t>Conejo  lact. pellets  granel</t>
  </si>
  <si>
    <t>Conejo  lactancia harina</t>
  </si>
  <si>
    <t>Conejo   lactancia harina granel</t>
  </si>
  <si>
    <t>Inicio núcleo genético</t>
  </si>
  <si>
    <t>Inicio núcleo genético granel</t>
  </si>
  <si>
    <t>Destete núcleo genético</t>
  </si>
  <si>
    <t>PIENSOS  PORCINO</t>
  </si>
  <si>
    <t>Destete núcleo genético granel</t>
  </si>
  <si>
    <t>Crecimiento núcleo genético</t>
  </si>
  <si>
    <t>Crecimiento núcleo genético granel</t>
  </si>
  <si>
    <t>Gestación núcleo genético</t>
  </si>
  <si>
    <t>Gestación núcleo genético granel</t>
  </si>
  <si>
    <t xml:space="preserve">Lactación núcleo genético </t>
  </si>
  <si>
    <t>Lactación núcleo genético granel</t>
  </si>
  <si>
    <t>Ampliación prem. inicio cría porcino</t>
  </si>
  <si>
    <t>Amplia. prem. inicio cría porcino granel</t>
  </si>
  <si>
    <t>Inicio núcleo genético pelletizado</t>
  </si>
  <si>
    <t>Inicio núcleo genético pelletizado granel</t>
  </si>
  <si>
    <t>Único porcino</t>
  </si>
  <si>
    <t>Único porcino granel</t>
  </si>
  <si>
    <t>Núcleo único porcino</t>
  </si>
  <si>
    <t>Núcleo único porcino granel</t>
  </si>
  <si>
    <t>Ceba porcino</t>
  </si>
  <si>
    <t>Ceba porcino granel</t>
  </si>
  <si>
    <t>Ceba porcino b</t>
  </si>
  <si>
    <t>Ceba porcino b granel</t>
  </si>
  <si>
    <t>Nuprovin 10</t>
  </si>
  <si>
    <t>Nuprovin 10 granel.</t>
  </si>
  <si>
    <t>Maíz seco en grano</t>
  </si>
  <si>
    <t>Soya</t>
  </si>
  <si>
    <r>
      <t>MEDICAMENTOS  DE USO VETERINARIO</t>
    </r>
    <r>
      <rPr>
        <sz val="14"/>
        <rFont val="Arial"/>
        <family val="2"/>
      </rPr>
      <t> </t>
    </r>
  </si>
  <si>
    <t>Ácido Ascórbico 10ml/1gr</t>
  </si>
  <si>
    <t>u </t>
  </si>
  <si>
    <t>Albendazol 700 mg 50 ml/25 tabl.</t>
  </si>
  <si>
    <t>Antiespasmódico 10 ml</t>
  </si>
  <si>
    <t>Antitoxina tetánica 10 ml</t>
  </si>
  <si>
    <t>Atropina 50ml</t>
  </si>
  <si>
    <t>Bengest-1 100 ml</t>
  </si>
  <si>
    <t>Cafeína 10 ml</t>
  </si>
  <si>
    <t>Calcio Simple 500ml</t>
  </si>
  <si>
    <t>Complejo B Iny.100ml</t>
  </si>
  <si>
    <t>Complejo B Oral L</t>
  </si>
  <si>
    <t>Complemento liofilizado 10ml</t>
  </si>
  <si>
    <t>Dextrana/Hierro 100 ml</t>
  </si>
  <si>
    <t>Estreptopenicilina Aviar 500 ml</t>
  </si>
  <si>
    <t xml:space="preserve">Forticillín 100ml </t>
  </si>
  <si>
    <t>Ganasegur 100ml/5gr</t>
  </si>
  <si>
    <t>Gentamicina 5% inyectable 100 ml</t>
  </si>
  <si>
    <t>Gonadotropina Sérica 3000UI</t>
  </si>
  <si>
    <t>Hemolizina 10ml</t>
  </si>
  <si>
    <t>Hidrolizado proteínas 5L</t>
  </si>
  <si>
    <t>Hidrolizado proteínas L</t>
  </si>
  <si>
    <t>Indometacina 250ml/220gr</t>
  </si>
  <si>
    <t>Inf. Mamaria de gentamicina 8gr</t>
  </si>
  <si>
    <t>Kanamicina 50ml/4gr</t>
  </si>
  <si>
    <t> u</t>
  </si>
  <si>
    <t>Labiomec 100ml</t>
  </si>
  <si>
    <t xml:space="preserve">Labionor L </t>
  </si>
  <si>
    <t>Labiozol 100ml</t>
  </si>
  <si>
    <t>Levamisol 100ml</t>
  </si>
  <si>
    <t>Metronidazol 250ml/190gr</t>
  </si>
  <si>
    <t>Oximicina 100ml</t>
  </si>
  <si>
    <t>Oxipresina 10ml</t>
  </si>
  <si>
    <t>Oxitetraciclina amortiguada 100ml/5gr</t>
  </si>
  <si>
    <t>Penicilina G Potásica 20ml</t>
  </si>
  <si>
    <t>Piranisamina 20ml</t>
  </si>
  <si>
    <t>Progesterona 100ml</t>
  </si>
  <si>
    <t>Sol. ACD 500ml</t>
  </si>
  <si>
    <t>Sol. Ringer Lactada 500ml</t>
  </si>
  <si>
    <t>Sol. Salina Fisiológica 500ml</t>
  </si>
  <si>
    <t>Suero Control Neg. Brucella Abortus 10ml/2ml</t>
  </si>
  <si>
    <t>Suero Control Posit.Brucella Abortus 10ml/2ml</t>
  </si>
  <si>
    <t>Sulfametacina Sódica 250gr/168gr</t>
  </si>
  <si>
    <t>Vac. Aujesky 50ml/10ds</t>
  </si>
  <si>
    <t>Vac. Bivalente Moquillo-Hepatitis 20ml/ds</t>
  </si>
  <si>
    <t>Vac. Bronq.Inf.Aviar 10ml/1000ds</t>
  </si>
  <si>
    <t>Vac. Carbunco Sintomático 100ml/20ds</t>
  </si>
  <si>
    <t>Vac. Cólera Porcino 50ml/25ds</t>
  </si>
  <si>
    <t>Vac. Ectima Contagioso 10ml/25ds</t>
  </si>
  <si>
    <t>Vac. Encefalomielitis Aviar 10ml/1000ds</t>
  </si>
  <si>
    <t>Vac. Encefalomiocarditis del Cerdo 100ml/20ds</t>
  </si>
  <si>
    <t>Vac. Erisipela viva 10ml/50ds</t>
  </si>
  <si>
    <t>Vac. Leptospira Polivalente 100ml</t>
  </si>
  <si>
    <t>Vac. Marek 10ml/1000ds</t>
  </si>
  <si>
    <t>Vac. New Castle 10ml/1000ds</t>
  </si>
  <si>
    <t>Vac. Viruela Aviar 10ml/1000ds</t>
  </si>
  <si>
    <t>Vit. A Oral 240ml/230ml</t>
  </si>
  <si>
    <t>Vit. K Iny.10ml</t>
  </si>
  <si>
    <t>Vit. K Oral 50ml/50gr</t>
  </si>
  <si>
    <t>EQUIPOS E IMPLEMENTOS</t>
  </si>
  <si>
    <t>Molino a viento (tanque y bebedero)</t>
  </si>
  <si>
    <t>Máquina forrajera PN-912</t>
  </si>
  <si>
    <t>Máquina forrajera Plus-2000</t>
  </si>
  <si>
    <t>Máquina moledora forrajera JF-30 CKD</t>
  </si>
  <si>
    <t>Máquina moledora  forrajera PP-25</t>
  </si>
  <si>
    <t>Arado con pértiga</t>
  </si>
  <si>
    <t>Arado de vertedera</t>
  </si>
  <si>
    <t>Multiarado 6 en 1</t>
  </si>
  <si>
    <t>Carretón de bueyes</t>
  </si>
  <si>
    <t>Grada de púas</t>
  </si>
  <si>
    <t>Cultivador de 3 órganos</t>
  </si>
  <si>
    <t>Cultivador de 5 órganos</t>
  </si>
  <si>
    <t>Sistema de Riego de 1.03 ha EB horizontal</t>
  </si>
  <si>
    <t>Sistema de Riego de 1.03 ha EB sumergible</t>
  </si>
  <si>
    <t>Sistema de Riego de 4.15 ha EB horizontal</t>
  </si>
  <si>
    <t xml:space="preserve">BATERÍAS   </t>
  </si>
  <si>
    <t>12v 200 A</t>
  </si>
  <si>
    <t>12v 75 A</t>
  </si>
  <si>
    <t>12v 110 A</t>
  </si>
  <si>
    <t>12v  150 A</t>
  </si>
  <si>
    <t xml:space="preserve">NEUMÁTICOS </t>
  </si>
  <si>
    <t>9.00-20</t>
  </si>
  <si>
    <t>11.00-20</t>
  </si>
  <si>
    <t>12.00 -20</t>
  </si>
  <si>
    <t>12.00- 22.5</t>
  </si>
  <si>
    <t xml:space="preserve">8.40-15 </t>
  </si>
  <si>
    <t xml:space="preserve">6.50-16 </t>
  </si>
  <si>
    <t xml:space="preserve">7.50-16 </t>
  </si>
  <si>
    <t xml:space="preserve">7.00-20 </t>
  </si>
  <si>
    <t xml:space="preserve">8.25-20 </t>
  </si>
  <si>
    <t xml:space="preserve">8.25-15 </t>
  </si>
  <si>
    <t>15.5-38</t>
  </si>
  <si>
    <t>OTROS</t>
  </si>
  <si>
    <t>Azada</t>
  </si>
  <si>
    <t>Pico piocha sin cabo</t>
  </si>
  <si>
    <t>Lima</t>
  </si>
  <si>
    <t>Pala cuadrada c/ mango metálico</t>
  </si>
  <si>
    <t>Pala redonda c/ mango metálico</t>
  </si>
  <si>
    <t>Barreta de 60”</t>
  </si>
  <si>
    <t>Rastrillo metálico c/ cabo</t>
  </si>
  <si>
    <t>Rastrillo sin cabo</t>
  </si>
  <si>
    <t>Pata de cabra</t>
  </si>
  <si>
    <t>Cántara de Leche 40 Lts</t>
  </si>
  <si>
    <t>Colador para leche</t>
  </si>
  <si>
    <t xml:space="preserve">Manguera 16x2 1.0 Mpa (para riego)            </t>
  </si>
  <si>
    <t>m</t>
  </si>
  <si>
    <t xml:space="preserve">Manguera 20x2 1.0 Mpa                               </t>
  </si>
  <si>
    <t xml:space="preserve">Manguera 25x2.3 1.0 Mpa                             </t>
  </si>
  <si>
    <t>Manguera 90x4.3 1.0 mpa (tubos)</t>
  </si>
  <si>
    <t>Manguera 110x3.2 1.0 mpa (tubos)</t>
  </si>
  <si>
    <t>Electrodos para soldar de 2.5 a 5mm (caja de 5 kg)</t>
  </si>
  <si>
    <t>lb</t>
  </si>
  <si>
    <t>Malla peerles (rollo de 10x1.8 metros)</t>
  </si>
  <si>
    <t>Clavos de acero 2x12 (caja ½ kg)</t>
  </si>
  <si>
    <t>Clavos de acero 1x16</t>
  </si>
  <si>
    <t>Clavos cabeza plana ½ x 13 caja 1.0 lb</t>
  </si>
  <si>
    <t>Clavos cabeza plana 2 x 10 caja 1.0 lb</t>
  </si>
  <si>
    <t>Clavos cabeza plana 1/2 x 10 caja 1.0 lb</t>
  </si>
  <si>
    <t>Clavos de acero 4x 8</t>
  </si>
  <si>
    <t>Clavos de acero 2x 12 (caja ½ kg)</t>
  </si>
  <si>
    <t>Clavos de acero c/p 2 1/2x 10 (caja de 22 kg)</t>
  </si>
  <si>
    <t>Clavos de acero c/p 3 1/2x 10 (caja de 22 kg)</t>
  </si>
  <si>
    <t>Clavos de acero 5x5  (caja de 20 kg)</t>
  </si>
  <si>
    <t>Clavos de acero 3x9  (caja de 22 kg)</t>
  </si>
  <si>
    <t>Grapas para cercas</t>
  </si>
  <si>
    <t>Bomba de agua manual BM 52 (c/ módulo de instalación)</t>
  </si>
  <si>
    <t>Bomba de agua manual BM 53 (c/ módulo de instalación)</t>
  </si>
  <si>
    <t>Bombas de agua manual BM-55</t>
  </si>
  <si>
    <t>Conector p/Barra 12 mm</t>
  </si>
  <si>
    <t>tubo impulsor 1 1/2”de 6 m</t>
  </si>
  <si>
    <t>Barra roscada 12 mm</t>
  </si>
  <si>
    <t>Cilindro de 3”x ½ x 18</t>
  </si>
  <si>
    <t>Válvula de pie 1 ½ “Br</t>
  </si>
  <si>
    <t xml:space="preserve">Alambre c/ púas 15x16 (rollo de22 kg)           </t>
  </si>
  <si>
    <t>rollo</t>
  </si>
  <si>
    <t>Alambre entorchado c/ púas 13 x14 ( Rollo 32 kg)</t>
  </si>
  <si>
    <t>Malla rectangular p/ cochino 0.80 x 100 metro ( rollo=42 kg)</t>
  </si>
  <si>
    <t>Esquejes de boniato</t>
  </si>
  <si>
    <t>INSUMOS CON OTROS PRECIOS APROBADOS</t>
  </si>
  <si>
    <t>Insumo</t>
  </si>
  <si>
    <t>um</t>
  </si>
  <si>
    <t>Treflan</t>
  </si>
  <si>
    <t>Nordox</t>
  </si>
  <si>
    <t>Semilla de ajo</t>
  </si>
  <si>
    <t>abamectina</t>
  </si>
  <si>
    <t>Bi 58</t>
  </si>
  <si>
    <t>Semilla de pepino</t>
  </si>
  <si>
    <t>Sherpa</t>
  </si>
  <si>
    <t>Buldok</t>
  </si>
  <si>
    <t>Hidrato de cal</t>
  </si>
  <si>
    <t>Diazinon</t>
  </si>
  <si>
    <t>Gexapax</t>
  </si>
  <si>
    <t>Adherente</t>
  </si>
  <si>
    <t>Diuron</t>
  </si>
  <si>
    <t>Flordimex</t>
  </si>
  <si>
    <t>Benomil</t>
  </si>
  <si>
    <t>Cebo de bibijagua</t>
  </si>
  <si>
    <t>Aceite mineral</t>
  </si>
  <si>
    <t>Oxicloruro de cobre</t>
  </si>
  <si>
    <t>Fundazol</t>
  </si>
  <si>
    <t>Hormonal Siboney</t>
  </si>
  <si>
    <r>
      <t>Agua (mm</t>
    </r>
    <r>
      <rPr>
        <sz val="10"/>
        <rFont val="Arial"/>
        <family val="2"/>
      </rPr>
      <t>³</t>
    </r>
    <r>
      <rPr>
        <sz val="10"/>
        <rFont val="Arial"/>
        <family val="2"/>
      </rPr>
      <t>)</t>
    </r>
  </si>
  <si>
    <r>
      <t>Agua (mm</t>
    </r>
    <r>
      <rPr>
        <sz val="10"/>
        <rFont val="Arial"/>
        <family val="2"/>
      </rPr>
      <t>³)</t>
    </r>
  </si>
  <si>
    <t>Agua (mm³)</t>
  </si>
  <si>
    <t>Conceptos de gastos</t>
  </si>
  <si>
    <t>Total unitario</t>
  </si>
  <si>
    <t>Producto: Malanga colocasia</t>
  </si>
  <si>
    <t>Producto: Malanga xanthosoma</t>
  </si>
  <si>
    <t>Producto: Plátano vianda</t>
  </si>
  <si>
    <t>Producto: Plátano fruta</t>
  </si>
  <si>
    <t xml:space="preserve">Aprobado por:                                                           </t>
  </si>
  <si>
    <t>Costo total por ha</t>
  </si>
  <si>
    <t>Costo total por ha (más impuestos)</t>
  </si>
  <si>
    <t>Producto Plátano burro</t>
  </si>
  <si>
    <t>Producto</t>
  </si>
  <si>
    <t>Norma de consumo</t>
  </si>
  <si>
    <t>MININISTERIO DE LA AGRICULTUTA</t>
  </si>
  <si>
    <r>
      <t xml:space="preserve">CULTIVO: </t>
    </r>
    <r>
      <rPr>
        <b/>
        <u/>
        <sz val="10"/>
        <rFont val="Arial"/>
        <family val="2"/>
      </rPr>
      <t xml:space="preserve">   </t>
    </r>
    <r>
      <rPr>
        <i/>
        <u/>
        <sz val="10"/>
        <rFont val="Arial"/>
        <family val="2"/>
      </rPr>
      <t xml:space="preserve">PAPA </t>
    </r>
    <r>
      <rPr>
        <b/>
        <u/>
        <sz val="10"/>
        <rFont val="Arial"/>
        <family val="2"/>
      </rPr>
      <t xml:space="preserve">     </t>
    </r>
    <r>
      <rPr>
        <b/>
        <sz val="10"/>
        <rFont val="Arial"/>
        <family val="2"/>
      </rPr>
      <t xml:space="preserve"> </t>
    </r>
  </si>
  <si>
    <r>
      <t>RIEGO:</t>
    </r>
    <r>
      <rPr>
        <i/>
        <u/>
        <sz val="10"/>
        <rFont val="Arial"/>
        <family val="2"/>
      </rPr>
      <t xml:space="preserve">       </t>
    </r>
  </si>
  <si>
    <r>
      <t>RENDIMIENTO ESPERADO:</t>
    </r>
    <r>
      <rPr>
        <b/>
        <u/>
        <sz val="10"/>
        <rFont val="Arial"/>
        <family val="2"/>
      </rPr>
      <t xml:space="preserve">  </t>
    </r>
    <r>
      <rPr>
        <i/>
        <u/>
        <sz val="10"/>
        <rFont val="Arial"/>
        <family val="2"/>
      </rPr>
      <t xml:space="preserve">     20,6 t/ha      </t>
    </r>
    <r>
      <rPr>
        <i/>
        <sz val="10"/>
        <rFont val="Arial"/>
        <family val="2"/>
      </rPr>
      <t xml:space="preserve"> </t>
    </r>
  </si>
  <si>
    <r>
      <t xml:space="preserve">TIPO DE SUELO:  </t>
    </r>
    <r>
      <rPr>
        <i/>
        <u/>
        <sz val="10"/>
        <rFont val="Arial"/>
        <family val="2"/>
      </rPr>
      <t xml:space="preserve">      </t>
    </r>
  </si>
  <si>
    <r>
      <t>FECHA:</t>
    </r>
    <r>
      <rPr>
        <b/>
        <u/>
        <sz val="10"/>
        <rFont val="Arial"/>
        <family val="2"/>
      </rPr>
      <t xml:space="preserve">   </t>
    </r>
    <r>
      <rPr>
        <i/>
        <u/>
        <sz val="10"/>
        <rFont val="Arial"/>
        <family val="2"/>
      </rPr>
      <t xml:space="preserve"> 6/10/2008     </t>
    </r>
  </si>
  <si>
    <t xml:space="preserve"> </t>
  </si>
  <si>
    <t>COD.</t>
  </si>
  <si>
    <t>D/A    D/D</t>
  </si>
  <si>
    <t>CANTIDAD DE TRABAJO</t>
  </si>
  <si>
    <t>TASA SALARIAL</t>
  </si>
  <si>
    <t>Gasto de</t>
  </si>
  <si>
    <t>VOL</t>
  </si>
  <si>
    <t>JN</t>
  </si>
  <si>
    <t>Salario</t>
  </si>
  <si>
    <t>ENER</t>
  </si>
  <si>
    <t>SERV</t>
  </si>
  <si>
    <t>GASTOS</t>
  </si>
  <si>
    <t>TR</t>
  </si>
  <si>
    <t>TRAB</t>
  </si>
  <si>
    <t>IMPOR</t>
  </si>
  <si>
    <t>LABOR</t>
  </si>
  <si>
    <t>ACUMULAD.</t>
  </si>
  <si>
    <t>20 kn</t>
  </si>
  <si>
    <t>ADI - 3</t>
  </si>
  <si>
    <t>Pilón de Cargue Papa</t>
  </si>
  <si>
    <t>Primera Grada</t>
  </si>
  <si>
    <t>G - 965</t>
  </si>
  <si>
    <t>Subsoleo</t>
  </si>
  <si>
    <t>30 kn</t>
  </si>
  <si>
    <t>Tiller FC-11</t>
  </si>
  <si>
    <t xml:space="preserve">Tiro de Fertilizantes </t>
  </si>
  <si>
    <t>Ayud. Tiro de  Fertil.</t>
  </si>
  <si>
    <t>Fertilización</t>
  </si>
  <si>
    <t>Habanero</t>
  </si>
  <si>
    <t>Ayud. Fertilización</t>
  </si>
  <si>
    <t>Nivelación</t>
  </si>
  <si>
    <t>RAIL</t>
  </si>
  <si>
    <t>Minado</t>
  </si>
  <si>
    <t>Máquina</t>
  </si>
  <si>
    <t>KUBAN</t>
  </si>
  <si>
    <t>Surca</t>
  </si>
  <si>
    <t>SA 3</t>
  </si>
  <si>
    <t>Pique de Semilla</t>
  </si>
  <si>
    <t>Tiro de Semilla</t>
  </si>
  <si>
    <t>Ayud. Tiro de Semilla</t>
  </si>
  <si>
    <t>TR-4</t>
  </si>
  <si>
    <t xml:space="preserve">Ayud. Siembra </t>
  </si>
  <si>
    <t>Aplicación de Confidor</t>
  </si>
  <si>
    <t>P-11</t>
  </si>
  <si>
    <t>Ayud. Aplicac. de Confidor</t>
  </si>
  <si>
    <t>Retape</t>
  </si>
  <si>
    <t>Retape Manual</t>
  </si>
  <si>
    <t>Drenaje</t>
  </si>
  <si>
    <t xml:space="preserve">Aplicación de Herbicida </t>
  </si>
  <si>
    <t>Ayud. Aplic. De Herbicida</t>
  </si>
  <si>
    <t>Barrera de Maíz</t>
  </si>
  <si>
    <t>Semilla de Maíz</t>
  </si>
  <si>
    <t xml:space="preserve">Aplicación de M. Biologico </t>
  </si>
  <si>
    <t>Ayud. Aplic. M. Biológicos</t>
  </si>
  <si>
    <t>Bacill.+ Beauv.</t>
  </si>
  <si>
    <t>Fertilización Nitrogenada</t>
  </si>
  <si>
    <t>Bolso</t>
  </si>
  <si>
    <t xml:space="preserve">Limpia </t>
  </si>
  <si>
    <t>Aplicación de Fungicidas</t>
  </si>
  <si>
    <t>Ayud. Aplicac. De Fungicidas</t>
  </si>
  <si>
    <t>Bacill.+ Vertic.</t>
  </si>
  <si>
    <t>Bacill.+ Methar.</t>
  </si>
  <si>
    <t xml:space="preserve">Aplicación de Pesticida </t>
  </si>
  <si>
    <t xml:space="preserve">Ayud. Aplicac. De  Pesticida </t>
  </si>
  <si>
    <t xml:space="preserve">Aplicación de Cal-Tabaquina </t>
  </si>
  <si>
    <t xml:space="preserve"> Ayud. Aplicac. Cal-Tabaquina </t>
  </si>
  <si>
    <t>Cal-Tabaquina</t>
  </si>
  <si>
    <t>Chapea</t>
  </si>
  <si>
    <t>Chpeadora</t>
  </si>
  <si>
    <t>Remontar Cantero</t>
  </si>
  <si>
    <t>Saque</t>
  </si>
  <si>
    <t>Sacadora</t>
  </si>
  <si>
    <t xml:space="preserve">Recolección </t>
  </si>
  <si>
    <t>Ayud. Tiro Cosecha</t>
  </si>
  <si>
    <t>Resaque Tiller</t>
  </si>
  <si>
    <t>Bacilus, beauveria</t>
  </si>
  <si>
    <t>Varetas de yuca</t>
  </si>
  <si>
    <t>Malanga Xanthosoma</t>
  </si>
  <si>
    <t>Rizomas de plátano</t>
  </si>
  <si>
    <t>Esq. boniato</t>
  </si>
  <si>
    <t>Agil</t>
  </si>
  <si>
    <t xml:space="preserve">Agil </t>
  </si>
  <si>
    <t>Resumen de las fichas de costo de los cultivos seleccionados</t>
  </si>
  <si>
    <t>Rendim. (t/ha)</t>
  </si>
  <si>
    <t>Malanga Colocacia</t>
  </si>
  <si>
    <t>Plátano Vianda</t>
  </si>
  <si>
    <t xml:space="preserve">Energía </t>
  </si>
  <si>
    <t>Salarios</t>
  </si>
  <si>
    <t xml:space="preserve">Depreciación </t>
  </si>
  <si>
    <t xml:space="preserve">Impuesto utilización de la fuerza de trabajo </t>
  </si>
  <si>
    <t>Sub total combustibles y energía</t>
  </si>
  <si>
    <t>Sub total materiales fundamentales</t>
  </si>
  <si>
    <t>Costo por ha</t>
  </si>
  <si>
    <t>Diesel 2</t>
  </si>
  <si>
    <t>Costos (pesos/t)</t>
  </si>
  <si>
    <t>Gasto de salarios</t>
  </si>
  <si>
    <t>Gasto de salarios 2015</t>
  </si>
  <si>
    <t>Cultivos</t>
  </si>
  <si>
    <t>Precios de acopio actual  por qq (506)</t>
  </si>
  <si>
    <t>Costo más utilidad</t>
  </si>
  <si>
    <t>Utilidad (%)</t>
  </si>
  <si>
    <t xml:space="preserve">Costo por qq </t>
  </si>
  <si>
    <t>Diferencia</t>
  </si>
  <si>
    <t>Rendim. Bajos        (t/ha)</t>
  </si>
  <si>
    <t>Propuesta del MFP</t>
  </si>
  <si>
    <t>4 de agosto 2020</t>
  </si>
  <si>
    <t>CENTRALIZADOS Pesos por quintal</t>
  </si>
  <si>
    <t>ACOPIO            tonelada</t>
  </si>
  <si>
    <t>ACOPIO quintal</t>
  </si>
  <si>
    <t>INTERMEDIO tonelada</t>
  </si>
  <si>
    <t>INTERMEDIO quintal</t>
  </si>
  <si>
    <t>MINORISTA tonelada</t>
  </si>
  <si>
    <t>%ACOPIO/ MINORISTA</t>
  </si>
  <si>
    <t>Leche fresca</t>
  </si>
  <si>
    <t>Carne de cerdo</t>
  </si>
  <si>
    <t>Carne vacuna</t>
  </si>
  <si>
    <t>Huevo gallina</t>
  </si>
  <si>
    <t>Remolacha Detroit Dark Red</t>
  </si>
  <si>
    <t>Calabaza Tipo Cabocha</t>
  </si>
  <si>
    <t>Acelga Española White Ribber</t>
  </si>
  <si>
    <t>Acelga China PakChoiCantón</t>
  </si>
  <si>
    <t>Espinaca Matador</t>
  </si>
  <si>
    <t>Lechuga Great Lake M-654</t>
  </si>
  <si>
    <t>Lechuga Dulce de Verano</t>
  </si>
  <si>
    <t>Lechuga Canasta</t>
  </si>
  <si>
    <t>Melón de Agua AsahiMiyako</t>
  </si>
  <si>
    <t>Melón de Agua Oblonga</t>
  </si>
  <si>
    <t>Melón de Agua Royal Charleston</t>
  </si>
  <si>
    <t>Nabo Purple Top</t>
  </si>
  <si>
    <t>QuimbomboClemsonSpineless</t>
  </si>
  <si>
    <t>Rabanito Rojo ScarletGlobe</t>
  </si>
  <si>
    <t>Rabanito Rojo c/Rabito Blanco</t>
  </si>
  <si>
    <t>Rabano Blanco White Long</t>
  </si>
  <si>
    <t>Acelga China PakChoiSeppak</t>
  </si>
  <si>
    <t>Cebolla Yellow Granex F-1 - A</t>
  </si>
  <si>
    <t>Manzanilla</t>
  </si>
  <si>
    <t>Cajigal</t>
  </si>
  <si>
    <t>Clavel Español</t>
  </si>
  <si>
    <t>Clavel Chino</t>
  </si>
  <si>
    <t>Extraña Rosa</t>
  </si>
  <si>
    <t>Girasol</t>
  </si>
  <si>
    <t>Margarita del Japón</t>
  </si>
  <si>
    <t>Marigold</t>
  </si>
  <si>
    <t>Maribela</t>
  </si>
  <si>
    <t>Aster</t>
  </si>
  <si>
    <t>Cebollino Ever Green</t>
  </si>
  <si>
    <t>Col China TokyoBecana</t>
  </si>
  <si>
    <t>Col Rojo ScarletOhara</t>
  </si>
  <si>
    <t>Col TSx 888</t>
  </si>
  <si>
    <t>Zanahoria New Kuroda</t>
  </si>
  <si>
    <t>Tomate SkyWay</t>
  </si>
  <si>
    <t>Tomate Aegean</t>
  </si>
  <si>
    <t>Tomate Pawnee</t>
  </si>
  <si>
    <t>Tomate Morelia</t>
  </si>
  <si>
    <t>Pimiento Claer</t>
  </si>
  <si>
    <t>Brachiaria híbrido Mulato II</t>
  </si>
  <si>
    <t>Brachiaria híbrido CIAT BRO/ 1752</t>
  </si>
  <si>
    <t>Yacare</t>
  </si>
  <si>
    <t>Brachiaria híbrido CIAT BRO/ 1794 Cobra</t>
  </si>
  <si>
    <t>Brachiaria Brizanta Marandu</t>
  </si>
  <si>
    <t>Papa Importada</t>
  </si>
  <si>
    <t>Sulfato Amonio</t>
  </si>
  <si>
    <t>Sulfato Magnesio</t>
  </si>
  <si>
    <t>Sulfato Manganeso</t>
  </si>
  <si>
    <t>Fosfato Mono Amónico</t>
  </si>
  <si>
    <t>Fosfato Mono Potásico</t>
  </si>
  <si>
    <t>Ácido Bórico</t>
  </si>
  <si>
    <t>Ácido Fosfórico</t>
  </si>
  <si>
    <t>Nitrato Magnesio</t>
  </si>
  <si>
    <t>Nitrato Calcio</t>
  </si>
  <si>
    <t>NPK 19-19-19</t>
  </si>
  <si>
    <t>Bayfolan Forte</t>
  </si>
  <si>
    <t>Basfoliar</t>
  </si>
  <si>
    <t>Turba Rubia</t>
  </si>
  <si>
    <t>NPK 13-6-18-4</t>
  </si>
  <si>
    <t>NPK 12-2-25-1</t>
  </si>
  <si>
    <t>NPK 13-3-43 (Nitrato Pot)</t>
  </si>
  <si>
    <t>NPK 5-12-20-4</t>
  </si>
  <si>
    <t>NPK 11-0-0-16</t>
  </si>
  <si>
    <t>CTA Zinc</t>
  </si>
  <si>
    <t>CTA Cobre</t>
  </si>
  <si>
    <t>CTA Hierro</t>
  </si>
  <si>
    <t>CTA Manganeso</t>
  </si>
  <si>
    <t>Molbdato de Sodio</t>
  </si>
  <si>
    <t>Codamin B-Mo</t>
  </si>
  <si>
    <t>Codamin Radicular</t>
  </si>
  <si>
    <t>Codasol Cítricos</t>
  </si>
  <si>
    <t>Codasol Plus 2000</t>
  </si>
  <si>
    <t>Coda Humus</t>
  </si>
  <si>
    <t>Codan</t>
  </si>
  <si>
    <t>Tamponic PH</t>
  </si>
  <si>
    <t>CodahexPg</t>
  </si>
  <si>
    <t>Codasol Micro</t>
  </si>
  <si>
    <t>NPK 15-5-30</t>
  </si>
  <si>
    <t>NPK 13-40-13</t>
  </si>
  <si>
    <t>NPK 15-10-15</t>
  </si>
  <si>
    <t>NPK 13-2-44</t>
  </si>
  <si>
    <t>NPK 10-25-27</t>
  </si>
  <si>
    <t>Especiales</t>
  </si>
  <si>
    <t>CTA Humus</t>
  </si>
  <si>
    <t>Kafon Cu</t>
  </si>
  <si>
    <t>Mudra Extra</t>
  </si>
  <si>
    <t>Buliten</t>
  </si>
  <si>
    <t>Virgoten</t>
  </si>
  <si>
    <t>Istarka Calcio</t>
  </si>
  <si>
    <t>Istarka Magnesio</t>
  </si>
  <si>
    <t>Etaboro</t>
  </si>
  <si>
    <t>Calfruit</t>
  </si>
  <si>
    <t>Stimulant-4</t>
  </si>
  <si>
    <t>Meristen Fe-6</t>
  </si>
  <si>
    <t>Calibor</t>
  </si>
  <si>
    <t>Meristen MLG</t>
  </si>
  <si>
    <t>CTA Estimulat</t>
  </si>
  <si>
    <t>Kafon</t>
  </si>
  <si>
    <t>Madran-G</t>
  </si>
  <si>
    <t>Molibor Extra</t>
  </si>
  <si>
    <t>Amoniaco</t>
  </si>
  <si>
    <t>Fosfato Diamónico</t>
  </si>
  <si>
    <t>Istarka Mix</t>
  </si>
  <si>
    <t>Multicote</t>
  </si>
  <si>
    <t>Sulafto de Potasio Orgánico</t>
  </si>
  <si>
    <t>Vitazyne</t>
  </si>
  <si>
    <t>Producción Nacional</t>
  </si>
  <si>
    <t>NPK 11-5-14-3</t>
  </si>
  <si>
    <t>NPK 5-5-24-3</t>
  </si>
  <si>
    <t>NPK 7-14-7</t>
  </si>
  <si>
    <t>Nitrato de Amonio</t>
  </si>
  <si>
    <t>Ácido Nítrico</t>
  </si>
  <si>
    <t>Abamectina (Abamectina CE 1.8 , Bioquim Abaco CE 1.8, Macrom CE 1.8, Romectin CE 1.8, Vertlan CE 1.8)</t>
  </si>
  <si>
    <t>Acephato (Acephato PS 75, Acephato PS 95, Estrella PS 95, Unifate PS 75)</t>
  </si>
  <si>
    <t>Acetamiprid (Gilan LS 20, Kestrel LS 20)</t>
  </si>
  <si>
    <t>Albatros SC 20(Fipronil 200 (Regent SC 20, Terminal SC 25)</t>
  </si>
  <si>
    <t>Amitraz CE 20 (Ocítrico CE 20 , Amigo CE 20)</t>
  </si>
  <si>
    <t>Azufre (Kumulus GD 80, Thiovit jet GD 80, Comoran GD 80)</t>
  </si>
  <si>
    <t>Bacillus Thringiensis (Logos BT PH - 32)</t>
  </si>
  <si>
    <t>Benzoato de emamectina (Proclaim CE 1,9, Macromxtra GS 5)</t>
  </si>
  <si>
    <t>Bifentrina (Bifensa CE 10, Seizer CE 10, Tab Control CE 10, Galico CE 10, General CE 10)</t>
  </si>
  <si>
    <t>Carbarilo (Carbaryl PH 80)</t>
  </si>
  <si>
    <t>Cihalotrina lambda (Icon SC 2.5, Karate CE 2.5, Lambda cihalotrina CE 2.5, Lambda special CE 2.5)</t>
  </si>
  <si>
    <t>Cipermetrina ( Bioquim Ciperkil CE 25 , Cyper CE 25, CipyCE 25, Titan CE 20,</t>
  </si>
  <si>
    <t>Cylux CE 20)</t>
  </si>
  <si>
    <t>Ciromacina (Trigard PH 75 )</t>
  </si>
  <si>
    <t>Clorfenapir (Magister SC 24, Pirate SC 24)</t>
  </si>
  <si>
    <t>Clorpirifos (BioquimClorban CE 48, Clorside CE 48 , Clorpirifos CE 48, Dorsam CE 48, Pyrinex CE 48)</t>
  </si>
  <si>
    <t>Deltametrina (Decis CE 10)</t>
  </si>
  <si>
    <t>Deltametrina (Keshet CE 2,5, Inidelta CE 2.5, K- Othrine CE 2.5 )</t>
  </si>
  <si>
    <t>Deltametrina + piperonilbutóxido (K Obiol CE 2,5)</t>
  </si>
  <si>
    <t>Diazol</t>
  </si>
  <si>
    <t>Diafentiuron (Polo SC 50, Duparc SC 50)</t>
  </si>
  <si>
    <t>Dimetoato(BioquimInsector EC 40)</t>
  </si>
  <si>
    <t>Etofenprox (Etofenprox CE 10)</t>
  </si>
  <si>
    <t>Fenpiroximate (Dilan CE 50)</t>
  </si>
  <si>
    <t>Fipronilo SC20</t>
  </si>
  <si>
    <t>Fipronilo (Blitz Cebo g 0.003)</t>
  </si>
  <si>
    <t>Fluvalinato- Tau (Mavrikc EW 24)</t>
  </si>
  <si>
    <t>Imidacloprid + Deltametrina (Muralla Delta OD 190)</t>
  </si>
  <si>
    <t>Imidacloprid+ bifentrin( Bi - Mida SC 300, Galil SC 300)</t>
  </si>
  <si>
    <t>Imidaclorpid (Confidor GD 70, Kohinor GD 70, Mida GD 70)</t>
  </si>
  <si>
    <t>Imidaclorpid (Plural OD 20)</t>
  </si>
  <si>
    <t>Lufenuron (Match CE 5)</t>
  </si>
  <si>
    <t>Malatión (Malathion CE 57)</t>
  </si>
  <si>
    <t>Metaldehido (Babotox Cebo GD5)</t>
  </si>
  <si>
    <t>Metiocarb+ metaldehido+ metomilo(Caracolex 5.95 Cebo)</t>
  </si>
  <si>
    <t>Metomilo (Methomex LS 20, Mecarmil LS 20, Pilarmate LS 20)</t>
  </si>
  <si>
    <t>Metomilo ( Methomex PS 90, Pilarmate PS 90, Formal PS 90)</t>
  </si>
  <si>
    <t>Profenofos+ lufenuron (Curyom CE 550)</t>
  </si>
  <si>
    <t>Spirodiclofen (Envidor SC 24)</t>
  </si>
  <si>
    <t>Spiromesifen (Oberon 24)</t>
  </si>
  <si>
    <t>Spirotetramat (Movento OD 150)</t>
  </si>
  <si>
    <t>Thiodicarb (Larvín SC 37.5, Larbex SC 37.5, Tiozent SC 37.5)</t>
  </si>
  <si>
    <t>Tiametoxan + lambda cihalotrina (Engeo SC 247, Bumker SC 24.7)</t>
  </si>
  <si>
    <t>Tiacloprid + Ciflutrina beta (Monarca SE ( 10,0 + 1,25)</t>
  </si>
  <si>
    <t>Tiametoxan (Actara GD 25, Snaiper GD 75)</t>
  </si>
  <si>
    <t>FUNGICIDAS</t>
  </si>
  <si>
    <t>Aceite Mineral ( Aceite Sigatoka)</t>
  </si>
  <si>
    <t>Azoxistrobin + Difenoconazol (Ortiva Top SC 325, Azote SC 325)</t>
  </si>
  <si>
    <t>Azoxistrobina + Ciproconazol (Amistar xtra SC 280, Aztrostarxtra GD 84)</t>
  </si>
  <si>
    <t>Azoxistrobina (Amistar SC 25,Aztrostar SC 25, Mirador SC 25)</t>
  </si>
  <si>
    <t>Azoxistrobina + Tebuconazol (custodia SC 320)</t>
  </si>
  <si>
    <t>Benalaxilo + Clorotalonilo (FanticStar GD 55)</t>
  </si>
  <si>
    <t>Benomilo (Benolo PH 50,</t>
  </si>
  <si>
    <t>BioquimBiobeno PH 50, Benosent PH 50)</t>
  </si>
  <si>
    <t>Bentiavalicarb + Folpet (Vincare GD (1,75</t>
  </si>
  <si>
    <t>+ 50)</t>
  </si>
  <si>
    <t>Calixin OL 86</t>
  </si>
  <si>
    <t>Captan (Merpan PH 80, Merpan GD 80)</t>
  </si>
  <si>
    <t>Carbendaxim (curacarb SC 50)</t>
  </si>
  <si>
    <t>Carbendaxim + Tetraconazol (Eminente Pro SE 27,5)</t>
  </si>
  <si>
    <t>Ciproconazol ( Alto LS 100)</t>
  </si>
  <si>
    <t>Clorotalonilo (Bravo SC 72, Odeon SC 720, Dacomax SC 72)</t>
  </si>
  <si>
    <t>Clorotalonilo (Clortosip SC 50 , Galeon SC 50, Bronco SC 50 )</t>
  </si>
  <si>
    <t>Difenoconazol (Magen CE 25, Score CE 25, Dino CE 25 , Divino CE 25, Basteon</t>
  </si>
  <si>
    <t>SC 25 )</t>
  </si>
  <si>
    <t>Difenoconazol + Propiconazol (Salto Doble CE 50, Taspa CE 50, Dominio CE 50, Brisk CE 50)</t>
  </si>
  <si>
    <t>Dimetomorf + Mancozeb (Acrobat MZ PH 69, Acromorf MZ PH 69, Morfat MZ PH 69, Dimetoman MZ PH 69)</t>
  </si>
  <si>
    <t>Epoziconazol + Kresoxim (Juwel SC 25, Trigold SC 25)</t>
  </si>
  <si>
    <t>Fenamidone + Fosetil Aluminio (Verita GD 71,1)</t>
  </si>
  <si>
    <t>Fluopicolide + Propamocarb (Infinito SC 68,75)</t>
  </si>
  <si>
    <t>Folpet (Folpan PH 80, Protab PH 80)</t>
  </si>
  <si>
    <t>Fosetil Aluminio (Aliette PH 80)</t>
  </si>
  <si>
    <t>Fosfito de potasio (Stamina LS 50)</t>
  </si>
  <si>
    <t>Iprovalicarb + Propineb (PositronDuo PH 69)</t>
  </si>
  <si>
    <t>Mancozeb ( Bioman PH 80, Fortuna PH 80, Manzate PH 80, Fuerza PH 80, Manro</t>
  </si>
  <si>
    <t>PH 80)</t>
  </si>
  <si>
    <t>Metalaxil + Mancozeb (Ridomil Gold MZ GD 68)</t>
  </si>
  <si>
    <t>Metalaxil + Mancozeb (Ridomil Gold PH 72)</t>
  </si>
  <si>
    <t>Oxicloruro de cobre (Cuproflow SC 37.7)</t>
  </si>
  <si>
    <t>Potasio fosfito + Clorotalonilo (Cosmos SC 62,5)</t>
  </si>
  <si>
    <t>Procloraz (Funcloraz CE 40, Mirage CE</t>
  </si>
  <si>
    <t>45)</t>
  </si>
  <si>
    <t>Propamocarb + Fosetil Aluminio (PrevicurEnergy LS 84)</t>
  </si>
  <si>
    <t>Propiconazol (Tilt CE 25 , Bumper ECNA CE 25 )</t>
  </si>
  <si>
    <t>Propineb (Antracol PH 70)</t>
  </si>
  <si>
    <t>Pyraclostrobin + Epiconazol (Opera SE 18,3)</t>
  </si>
  <si>
    <t>Pyraclostrobina (Regnum CE 25)</t>
  </si>
  <si>
    <t>Pyraclostrobina+ Dimetomorf ( CabrioTeam GD 18.7)</t>
  </si>
  <si>
    <t>Pyremetanil (Siganex SC 60)</t>
  </si>
  <si>
    <t>Tebuconazol (Orius EC 25, Pony EC 25 , Rottem EC 25)</t>
  </si>
  <si>
    <t>Tebuconazol + Procloraz (Supreme EW</t>
  </si>
  <si>
    <t>40)</t>
  </si>
  <si>
    <t>Tebuconazol + Triadimenol (Silvacur Combi CE 30, Super Meteoro CE 30, Tebucur CE 30, Fungi Combi CE 30)</t>
  </si>
  <si>
    <t>Tetraconazol (Domark CE 100)</t>
  </si>
  <si>
    <t>Tetraconazol + Azoxistrobina (Galileo SC 18)</t>
  </si>
  <si>
    <t>Tiram (Thiram PH 80)</t>
  </si>
  <si>
    <t>Trifloxistrobina + Ciproconazol (Shpere SC 535)</t>
  </si>
  <si>
    <t>Valifenalate + Mancozeb (Yaba M GD 66)</t>
  </si>
  <si>
    <t>Zineb (Zineb PH 75)</t>
  </si>
  <si>
    <t>2,4 D Ester Isoctilico CE 50 (Siboney CS 40, xTERMINA CE 45, 2.4 D Ester</t>
  </si>
  <si>
    <t>Isoctilico)</t>
  </si>
  <si>
    <t>Propaquizafop (Agil CE 10)</t>
  </si>
  <si>
    <t>Indaziflam (Alion CS 50)</t>
  </si>
  <si>
    <t>Cletodim (Arrow EC 12)</t>
  </si>
  <si>
    <t>Bentazona (Basagran CS 48)</t>
  </si>
  <si>
    <t>Fomesafen (BeenS C 25, Flex SC 25, Cosechero SC 25 )</t>
  </si>
  <si>
    <t>Torban LS 30,4, Piclor LS 30,4, Paso D LS 30,4, Torban Pro GS 90</t>
  </si>
  <si>
    <t>Bromacilo (Bromaxan PH 80, Uragan PH 80, Broquel PH 80)</t>
  </si>
  <si>
    <t>Butaclor (Crusher CE 60)</t>
  </si>
  <si>
    <t>Napropamida (Devrinol SC 45, Devrix SC 45)</t>
  </si>
  <si>
    <t>Diuron(Diuron PH 80, Hierbatox PH 80, Bioron PH 80, Diupax GD 80, Diurex PH 80)</t>
  </si>
  <si>
    <t>Diquat +Paraquat (Doblete LS 20, Bioquat LS 20, Duplex LS 20)</t>
  </si>
  <si>
    <t>S- Metolaclor (Dual Gold CE 96)</t>
  </si>
  <si>
    <t>Trifloxisulfuronsódico (Envoque GD 75)</t>
  </si>
  <si>
    <t>Estalión GD 13,75</t>
  </si>
  <si>
    <t>2, 4 D esterbutilico (Esterol D 80 CE 45)</t>
  </si>
  <si>
    <t>Glufosinato- Amonio (Finale SC 15, Asta SC 15, Instakil SC 150, Cypper LS 20)</t>
  </si>
  <si>
    <t>Flex EC 25</t>
  </si>
  <si>
    <t>Fenoxaprop- p- etilico (Puntal CE 18, Starice CE 6.9,Furore CE 4.5, Whip EW 7.5)</t>
  </si>
  <si>
    <t>Fluaxifop - p- butilo (Fusilade Forte CE 15, Neptum EW 25, Puntal CE 18)</t>
  </si>
  <si>
    <t>Oxifluorfen (Galigan CE 24 , Flecha CE 24, Oxifen CE 24, Sellador CE 24)</t>
  </si>
  <si>
    <t>Ametrina (Gesapax PH 80 , Bioquim PH 80, Ametryn PH 80, Ametrol PH 80, )</t>
  </si>
  <si>
    <t>Gesapax PH 80 (Ametrex)</t>
  </si>
  <si>
    <t>Glifosato (Glyphogan LS 48, Biokil LS 48, Glifosato SC 48, Machetazoxtra GS 68)</t>
  </si>
  <si>
    <t>Glyphosate SC 48</t>
  </si>
  <si>
    <t>Paraquat (Gramoxone LS 20, Paraquat LS 20, Lavax LS 20)</t>
  </si>
  <si>
    <t>Eptc (Ineptan CE 87.8)</t>
  </si>
  <si>
    <t>Raft SC40</t>
  </si>
  <si>
    <t>Quizalofop- p- etilo (Leopard CE 1.8, Sonic CE 1.8)</t>
  </si>
  <si>
    <t>Fluroxipir - meptilo (Matabu LS 20)</t>
  </si>
  <si>
    <t>Metsulfuron metilo (Melfuron PH 80, Metsulfuronmetil PH 80, Corrida PH 80)</t>
  </si>
  <si>
    <t>Isoxaflutole (Merlin GD 75, Profit GD 75, Palmero GD 75)</t>
  </si>
  <si>
    <t>Terbrute</t>
  </si>
  <si>
    <t>Neptum EW 25</t>
  </si>
  <si>
    <t>ParaquatSuper LS 27,6</t>
  </si>
  <si>
    <t>Pirasoxulfometuron- metilo (Papyrus PH 10, Piraña PH 10)</t>
  </si>
  <si>
    <t>Prometrina (Prometrex SC 50, Prometrex PH 50, Gesagard SC 50)</t>
  </si>
  <si>
    <t>Puntal CE 18</t>
  </si>
  <si>
    <t>Ranger LS 51,39</t>
  </si>
  <si>
    <t>Diquat (Reglone LS 20)</t>
  </si>
  <si>
    <t>Sal Amina LS 72</t>
  </si>
  <si>
    <t>Metribuzin (Metribuzin PH 70, Zino PH 70, Paladin GD 70</t>
  </si>
  <si>
    <t>Pretilaclor (Sofit CE 300)</t>
  </si>
  <si>
    <t>Pretilaclor + pirybenzoxim (Solito CE 320 )</t>
  </si>
  <si>
    <t>Clomazone CE 48 ( Kalif CE 48, Raptor CE 48, Weedzone CE 48)</t>
  </si>
  <si>
    <t>Pendimentalina CE (Bugy CE 50, Pendimentalin CE33)</t>
  </si>
  <si>
    <t>Profoxydim (Tetris CE 20)</t>
  </si>
  <si>
    <t>Trifluralina (Triflurex CE 48 , Trifluralina CE 48, Triflurin CE 48)</t>
  </si>
  <si>
    <t>Uragan PH 80</t>
  </si>
  <si>
    <t>Oxadiason SC38</t>
  </si>
  <si>
    <t>Whip EW 705</t>
  </si>
  <si>
    <t>OTROS PRODUCTOS</t>
  </si>
  <si>
    <t>Aceite AD 384</t>
  </si>
  <si>
    <t>Actellic EC 50</t>
  </si>
  <si>
    <t>Adherente 810 ( Codahex)</t>
  </si>
  <si>
    <t>Flumetralina CE 12,5% (Tanidual CE12,5%,Prime)</t>
  </si>
  <si>
    <t>Agrocelhone NE EC 80,64</t>
  </si>
  <si>
    <t>(AL-100 TS)</t>
  </si>
  <si>
    <t>Amonio Cuaternarrio</t>
  </si>
  <si>
    <t>BayfidanDuo RG 1,4</t>
  </si>
  <si>
    <t>Break Thru LS 100</t>
  </si>
  <si>
    <t>Celest SC 25</t>
  </si>
  <si>
    <t>Celest Top FS 321,5</t>
  </si>
  <si>
    <t>Formol 37</t>
  </si>
  <si>
    <t>Fosfamina</t>
  </si>
  <si>
    <t>Gaucho PS 70</t>
  </si>
  <si>
    <t>Madurex CS 48 (Etrel)</t>
  </si>
  <si>
    <t>Tamponi</t>
  </si>
  <si>
    <t>Pibutrin 33</t>
  </si>
  <si>
    <t>Blindage</t>
  </si>
  <si>
    <t>Sulfato de Cobre Ácido (Cuprosuf. Valle)</t>
  </si>
  <si>
    <t>Sulfatron LS 90</t>
  </si>
  <si>
    <t>Yunta FS 246</t>
  </si>
  <si>
    <t>Sanddler FS 35</t>
  </si>
  <si>
    <t>Trichogranma</t>
  </si>
  <si>
    <t>Semilla de boniato</t>
  </si>
  <si>
    <t>Semilla de malanga colocasia</t>
  </si>
  <si>
    <t>Semilla de xantoshoma</t>
  </si>
  <si>
    <t>Semilla de Plátano fruta</t>
  </si>
  <si>
    <t>Semilla de Plátano burro</t>
  </si>
  <si>
    <t>Semilla de Plátano vianda</t>
  </si>
  <si>
    <t>Semilla de yuca</t>
  </si>
  <si>
    <t>Bacilustungieric</t>
  </si>
  <si>
    <t>Turba rubia litros</t>
  </si>
  <si>
    <t>Vigorten</t>
  </si>
  <si>
    <t>Ácido nítrico</t>
  </si>
  <si>
    <t>PIENSOS</t>
  </si>
  <si>
    <t>Toros</t>
  </si>
  <si>
    <t>Caballos</t>
  </si>
  <si>
    <t>Caballos granel</t>
  </si>
  <si>
    <t>Perros tp pellets</t>
  </si>
  <si>
    <t>Perros tp harina</t>
  </si>
  <si>
    <t>Perros tp harina granel</t>
  </si>
  <si>
    <t>Conejo lactancia pellets</t>
  </si>
  <si>
    <t>Conejo lact. pellets granel</t>
  </si>
  <si>
    <t>Conejo lactancia harina</t>
  </si>
  <si>
    <t>Conejo lactancia harina granel</t>
  </si>
  <si>
    <t>PIENSOS (PORCINO)</t>
  </si>
  <si>
    <t>Lactación núcleo genético</t>
  </si>
  <si>
    <t>Nuprovin 10 granel</t>
  </si>
  <si>
    <t>MEDICAMENTOS DE USO VETERINARIO</t>
  </si>
  <si>
    <t>Forticillín 100ml</t>
  </si>
  <si>
    <t>Labionor L</t>
  </si>
  <si>
    <t>Suero Control Neg. BrucellaAbortus</t>
  </si>
  <si>
    <t>10ml/2ml</t>
  </si>
  <si>
    <t>Suero Control Posit.BrucellaAbortus</t>
  </si>
  <si>
    <t>Vacuna Aujesky 50ml/10ds</t>
  </si>
  <si>
    <t>Vacuna Bivalente Moquillo-Hepatitis</t>
  </si>
  <si>
    <t>20ml/ds</t>
  </si>
  <si>
    <t>Vacuna Bronq.Inf.Aviar 10ml/1000ds</t>
  </si>
  <si>
    <t>Vacuna Carbunco Sintomático 100ml/20ds</t>
  </si>
  <si>
    <t>Vacuna Cólera Porcino 50ml/25ds</t>
  </si>
  <si>
    <t>Vacuna Ectima Contagioso 10ml/25ds</t>
  </si>
  <si>
    <t>Vacuna. Encefalomielitis Aviar</t>
  </si>
  <si>
    <t>10ml/1000ds</t>
  </si>
  <si>
    <t>Vacuna Encefalomiocarditis del Cerdo</t>
  </si>
  <si>
    <t>100ml/20ds</t>
  </si>
  <si>
    <t>Vacuna Erisipela viva 10ml/50ds</t>
  </si>
  <si>
    <t>Vacuna Marek 10ml/1000ds</t>
  </si>
  <si>
    <t>Vacuna New Castle 10ml/1000ds</t>
  </si>
  <si>
    <t>Máquina moledora forrajera PP-25</t>
  </si>
  <si>
    <t>Vacuna Viruela Aviar 10ml/1000ds</t>
  </si>
  <si>
    <t>PRECIO DE VENTA DEL SERVICENTRO</t>
  </si>
  <si>
    <t>GASOLINA MOTOR (83 OCTANOS)</t>
  </si>
  <si>
    <t>GASOLINA MOTOR (90 OCTANOS)</t>
  </si>
  <si>
    <t>16.46</t>
  </si>
  <si>
    <t>GASOLINA MOTOR (94 OCTANOS)</t>
  </si>
  <si>
    <t>17.37</t>
  </si>
  <si>
    <t>DIESEL REGULAR</t>
  </si>
  <si>
    <t>DIESEL ESPECIAL</t>
  </si>
  <si>
    <t>15.12</t>
  </si>
  <si>
    <t>GASOLINA MOTOR (100 OCTANOS)</t>
  </si>
  <si>
    <t>20.27</t>
  </si>
  <si>
    <t>Hasta la norma de consumo establecida</t>
  </si>
  <si>
    <t>Millar de larbas</t>
  </si>
  <si>
    <t>Superior a  la norma de consumo establecida</t>
  </si>
  <si>
    <t>Servicio de agua potable mediante las redes en areas verdes públicas, huertos o parcelas agrícolas autorizadas y campos de golf. Res No.323-2020</t>
  </si>
  <si>
    <t>m³</t>
  </si>
  <si>
    <t xml:space="preserve">FICHA DE COSTO </t>
  </si>
  <si>
    <t>Metarizium</t>
  </si>
  <si>
    <t>FICHA DE COSTO</t>
  </si>
  <si>
    <t>Plátano fruta</t>
  </si>
  <si>
    <t>Sacos materias primas</t>
  </si>
  <si>
    <r>
      <t>mm</t>
    </r>
    <r>
      <rPr>
        <sz val="12"/>
        <rFont val="Calibri"/>
        <family val="2"/>
      </rPr>
      <t>³</t>
    </r>
  </si>
  <si>
    <t>Nomenclatura</t>
  </si>
  <si>
    <t>Precio mayorista</t>
  </si>
  <si>
    <t>máximo CUP</t>
  </si>
  <si>
    <t>Alta</t>
  </si>
  <si>
    <t>P/Mwh</t>
  </si>
  <si>
    <t>Baja</t>
  </si>
  <si>
    <t>Servicio de Energía Eléctrica No Residencial Res. 311/2020</t>
  </si>
  <si>
    <t xml:space="preserve">Precios de semillas </t>
  </si>
  <si>
    <t>Semillas de plátano burro</t>
  </si>
  <si>
    <t>Semillas de Plátano vianda</t>
  </si>
  <si>
    <t>Semillas de plátano fruta</t>
  </si>
  <si>
    <t>Semillas de Malanga Colocasia</t>
  </si>
  <si>
    <t>Semillas de Malanga Santhosoma</t>
  </si>
  <si>
    <t>Semillas de Yuca</t>
  </si>
  <si>
    <t>Semillas de Boniato</t>
  </si>
  <si>
    <t>Vitroplanta de plátano</t>
  </si>
  <si>
    <t>Millar de u</t>
  </si>
  <si>
    <t>Subtotal insecticidas</t>
  </si>
  <si>
    <t>Subtotal herbicidas</t>
  </si>
  <si>
    <t>Subtotal medios biológicos y naturales</t>
  </si>
  <si>
    <t>Otros productos</t>
  </si>
  <si>
    <t>Consumo de energía para riego = 53 kw x 30 riegos</t>
  </si>
  <si>
    <t xml:space="preserve">: </t>
  </si>
  <si>
    <t>Precio de acopio aprobado Res 312/20</t>
  </si>
  <si>
    <t>Precio de acopio propuesto por t</t>
  </si>
  <si>
    <t>Precio de acopio propuesto por qq</t>
  </si>
  <si>
    <t>Papa semilla nacional</t>
  </si>
  <si>
    <t>Precio de acopio aprobado qq Res 312/20</t>
  </si>
  <si>
    <t>4=2/3</t>
  </si>
  <si>
    <t>5=4/21,74</t>
  </si>
  <si>
    <t>7=4*120%</t>
  </si>
  <si>
    <t>8=7/21,74</t>
  </si>
  <si>
    <t>9=6/21,74</t>
  </si>
  <si>
    <t>Análisis precios de acopio aplicando los precios de los insumos aprobados por la tarea ordenamiento</t>
  </si>
  <si>
    <t>Hortalizas</t>
  </si>
  <si>
    <t>Frutales</t>
  </si>
  <si>
    <t>Viandas</t>
  </si>
  <si>
    <t>Granos</t>
  </si>
  <si>
    <t>DIRECCION DE SANIDAD VEGETAL</t>
  </si>
  <si>
    <t>Estrategia Boniato 2020-2021</t>
  </si>
  <si>
    <t>Ingrediente Activo</t>
  </si>
  <si>
    <t>Nombre Comercial</t>
  </si>
  <si>
    <t>Dosis kg/l</t>
  </si>
  <si>
    <t>Tratamientos</t>
  </si>
  <si>
    <t>Precio USD  IA/kg-l</t>
  </si>
  <si>
    <t>Cantidad kg-l.</t>
  </si>
  <si>
    <t>Valor($)</t>
  </si>
  <si>
    <t>Costt/ha</t>
  </si>
  <si>
    <t>Total General</t>
  </si>
  <si>
    <t>Cipermetrina 20</t>
  </si>
  <si>
    <t>Ciperkil CE 25</t>
  </si>
  <si>
    <t>Tetuan, larvas de lepidópteros</t>
  </si>
  <si>
    <t xml:space="preserve">Acefato </t>
  </si>
  <si>
    <t xml:space="preserve">Acefato PS 75 </t>
  </si>
  <si>
    <t>Subtotal Insecticidas</t>
  </si>
  <si>
    <t xml:space="preserve">Propaquizafop  </t>
  </si>
  <si>
    <t>Subtotal Herbicidas</t>
  </si>
  <si>
    <t>Biológicos y naturales</t>
  </si>
  <si>
    <t>Beauveria bassiana</t>
  </si>
  <si>
    <t>Tetuan</t>
  </si>
  <si>
    <t xml:space="preserve">Metarhizium anisopliae  </t>
  </si>
  <si>
    <t xml:space="preserve">Metarhizium anisopliae </t>
  </si>
  <si>
    <t>Heterorhabditis</t>
  </si>
  <si>
    <t>Nematodo (millones)</t>
  </si>
  <si>
    <t>Subtotal Biológicos y naturales</t>
  </si>
  <si>
    <t>Estrategia de Malanga 2020-2021</t>
  </si>
  <si>
    <t>Malanga</t>
  </si>
  <si>
    <t xml:space="preserve">Imidacloprid+Bifentrina </t>
  </si>
  <si>
    <t>Kospi SC 13</t>
  </si>
  <si>
    <t>Bacillus thurisgiensis cepa 13</t>
  </si>
  <si>
    <t xml:space="preserve">Ácaros </t>
  </si>
  <si>
    <t>Lecanicillium lecanii</t>
  </si>
  <si>
    <t xml:space="preserve">Lecanicillium lecanii  </t>
  </si>
  <si>
    <t>Afidos, salta hojas</t>
  </si>
  <si>
    <t xml:space="preserve">salta hojas </t>
  </si>
  <si>
    <t>Azoxistrobin</t>
  </si>
  <si>
    <t>Nagata SC 25</t>
  </si>
  <si>
    <t xml:space="preserve">Benomilo </t>
  </si>
  <si>
    <t>Bioquim Biobeno PH 50</t>
  </si>
  <si>
    <t xml:space="preserve">Propiconazol </t>
  </si>
  <si>
    <t xml:space="preserve">Tilt CE 25 </t>
  </si>
  <si>
    <t xml:space="preserve">Tebuconazol </t>
  </si>
  <si>
    <t>Orius ECNA EC 25</t>
  </si>
  <si>
    <t xml:space="preserve">Tetraconazol </t>
  </si>
  <si>
    <t>Domark CE 100</t>
  </si>
  <si>
    <t xml:space="preserve">Mancozeb  </t>
  </si>
  <si>
    <t>Manzate PH 80</t>
  </si>
  <si>
    <t>Subtotal Fungicidas</t>
  </si>
  <si>
    <t xml:space="preserve">Glufosinato de  Amonio  </t>
  </si>
  <si>
    <t xml:space="preserve">Lifeline LS 28, </t>
  </si>
  <si>
    <t xml:space="preserve">Indaziflam </t>
  </si>
  <si>
    <t>Alion CS 50</t>
  </si>
  <si>
    <t>Glyfosato</t>
  </si>
  <si>
    <t>Glyfosato CS 48 Produccion Nacional</t>
  </si>
  <si>
    <t>Aceite Mineral</t>
  </si>
  <si>
    <t>Emulsificante - dispersante</t>
  </si>
  <si>
    <t>AL-100 TS</t>
  </si>
  <si>
    <t>Emulsificante p/ profoxydim</t>
  </si>
  <si>
    <t>Dash CE 35</t>
  </si>
  <si>
    <t>Subtotal Otros Productos</t>
  </si>
  <si>
    <t>Trichoderma harzianum cepa A-34</t>
  </si>
  <si>
    <t>Hongos del suelo</t>
  </si>
  <si>
    <t>Estrategia de Platano  2020-2021</t>
  </si>
  <si>
    <t>A precio ordenamiento</t>
  </si>
  <si>
    <t>Norma de consumo ajustada</t>
  </si>
  <si>
    <t>Precio anterior</t>
  </si>
  <si>
    <t>Importe total</t>
  </si>
  <si>
    <t>Precio nuevo</t>
  </si>
  <si>
    <t xml:space="preserve">Nuevo Importe </t>
  </si>
  <si>
    <t>Actual</t>
  </si>
  <si>
    <t>PRODUCTO:   Plátano fruta</t>
  </si>
  <si>
    <t>Categoría ocupacional</t>
  </si>
  <si>
    <t>Cantidad de trabajadores</t>
  </si>
  <si>
    <t>Salario por jornadas</t>
  </si>
  <si>
    <t>Jornadas por ha</t>
  </si>
  <si>
    <t>Gasto de salario</t>
  </si>
  <si>
    <t>Descripción de las operaciones</t>
  </si>
  <si>
    <t>Labores</t>
  </si>
  <si>
    <t>Costo base</t>
  </si>
  <si>
    <t>Malanga Colocasia</t>
  </si>
  <si>
    <t>CONSUMO DE ENERGÍA ELECTRICA EN KW</t>
  </si>
  <si>
    <t xml:space="preserve">Unidad de medida: Kw consumido por una hectarea del ciclo total del cultivo </t>
  </si>
  <si>
    <t>2021 (Tarea Ordenamiento)</t>
  </si>
  <si>
    <t>Nueva Propuesta</t>
  </si>
  <si>
    <t>Deferencia</t>
  </si>
  <si>
    <t>Consumo (KW)</t>
  </si>
  <si>
    <t>Valor (CUP)</t>
  </si>
  <si>
    <t>Costo</t>
  </si>
  <si>
    <t>Papa</t>
  </si>
  <si>
    <t>Platano</t>
  </si>
  <si>
    <t>Maíz</t>
  </si>
  <si>
    <t xml:space="preserve">Frijól </t>
  </si>
  <si>
    <t>Tabaco</t>
  </si>
  <si>
    <t>15 veces VS Año 2020</t>
  </si>
  <si>
    <t>13 Veces VS Año 2020</t>
  </si>
  <si>
    <t>Agua (m³)</t>
  </si>
  <si>
    <t xml:space="preserve">Costo </t>
  </si>
  <si>
    <t>Costo Total</t>
  </si>
  <si>
    <t xml:space="preserve">Frijol </t>
  </si>
  <si>
    <t>7 Veces VS Año 2020</t>
  </si>
  <si>
    <t>5,5 Veces VS Año 2020</t>
  </si>
  <si>
    <t>Cultivos Prpoductos</t>
  </si>
  <si>
    <t>Índice de consumo</t>
  </si>
  <si>
    <t>U/M</t>
  </si>
  <si>
    <t>Cultivos Varios</t>
  </si>
  <si>
    <t>Nitrato Amonio</t>
  </si>
  <si>
    <t>Ñame</t>
  </si>
  <si>
    <t>Res 66-21</t>
  </si>
  <si>
    <t>Consumo de energía</t>
  </si>
  <si>
    <t>Enero</t>
  </si>
  <si>
    <t>Febrero</t>
  </si>
  <si>
    <t>Marzo</t>
  </si>
  <si>
    <t>Abril</t>
  </si>
  <si>
    <t>Ciclo</t>
  </si>
  <si>
    <t>Promedio mensual</t>
  </si>
  <si>
    <t>Consumo total</t>
  </si>
  <si>
    <t>Area cultivada</t>
  </si>
  <si>
    <t>Consumo por ($/ha)</t>
  </si>
  <si>
    <t>Precio del kw</t>
  </si>
  <si>
    <t>kw por ha</t>
  </si>
  <si>
    <t>Costos (pesos/qq)</t>
  </si>
  <si>
    <t>% del costo total</t>
  </si>
  <si>
    <t>Estrategia de Platano Cabendich 2020-2021</t>
  </si>
  <si>
    <t>ANEXO 1</t>
  </si>
  <si>
    <t xml:space="preserve">LISTA OFICIAL DE PRECIOS MAYORISTAS MÁXIMOS </t>
  </si>
  <si>
    <t>PARA LOS INSECTOS BENÉFICOS</t>
  </si>
  <si>
    <t>Millon de individuos</t>
  </si>
  <si>
    <t>Millar de individuos</t>
  </si>
  <si>
    <t>Nemátodo entomopatógeno</t>
  </si>
  <si>
    <t>Trichogramma sp</t>
  </si>
  <si>
    <t>Tetrastichus sp</t>
  </si>
  <si>
    <t>Telenomus sp</t>
  </si>
  <si>
    <t>Cryptolaemus montrouzieri</t>
  </si>
  <si>
    <t>Euplectrus plathypenae</t>
  </si>
  <si>
    <t>Cephalonomia</t>
  </si>
  <si>
    <t>Eucelatoria</t>
  </si>
  <si>
    <t>Chrysopa</t>
  </si>
  <si>
    <t>Zelus longipes</t>
  </si>
  <si>
    <t>Coleomegilla cubensis</t>
  </si>
  <si>
    <t>Orius insidiosus</t>
  </si>
  <si>
    <t>Amblyseius limonicus</t>
  </si>
  <si>
    <t>Mosca lixophaga</t>
  </si>
  <si>
    <t>Bacillus thurigiensis</t>
  </si>
  <si>
    <t>Trichoderma harzianun</t>
  </si>
  <si>
    <t>Beauberia bassiana</t>
  </si>
  <si>
    <t>Metarhizium anisopliae</t>
  </si>
  <si>
    <t>Lecaniocillium lecanii</t>
  </si>
  <si>
    <t>Precios</t>
  </si>
  <si>
    <t>Importe</t>
  </si>
  <si>
    <t>Utilidad</t>
  </si>
  <si>
    <t>Precio de acopio</t>
  </si>
  <si>
    <t>IM</t>
  </si>
  <si>
    <t>FC</t>
  </si>
  <si>
    <t>Variante</t>
  </si>
  <si>
    <t>% del costo</t>
  </si>
  <si>
    <t>Anterior</t>
  </si>
  <si>
    <t>Sacos (materias primas)</t>
  </si>
  <si>
    <t>Larvas de lepidopteros</t>
  </si>
  <si>
    <t>Tetuan, Typophorus nigritus</t>
  </si>
  <si>
    <t>Tetuan,</t>
  </si>
  <si>
    <t>Larvas de lepidópteros, pupas y prepupas</t>
  </si>
  <si>
    <t>Huevos de lepidopteros</t>
  </si>
  <si>
    <t>mil</t>
  </si>
  <si>
    <t>millón</t>
  </si>
  <si>
    <t>Afidos, Trips mosca blanca, salta hojas</t>
  </si>
  <si>
    <t>pupas y prepupas de lepidopteros.</t>
  </si>
  <si>
    <t>Larvas de lepidopteros, pupas, prepupas</t>
  </si>
  <si>
    <t>Sub total medios biológicos</t>
  </si>
  <si>
    <t xml:space="preserve">Coleopteros </t>
  </si>
  <si>
    <t>Coleopteros, larvas de lepidópteros</t>
  </si>
  <si>
    <t>cepa</t>
  </si>
  <si>
    <t>Coleopteros,Larvas de lepidópteros</t>
  </si>
  <si>
    <t>sub total Productos biológicos y naturales</t>
  </si>
  <si>
    <t>Bio fertilizantes</t>
  </si>
  <si>
    <t>ME - 50</t>
  </si>
  <si>
    <t>Fitomas E</t>
  </si>
  <si>
    <t>Materia Orgánica</t>
  </si>
  <si>
    <t>Humus de lombríz</t>
  </si>
  <si>
    <t>Humus líquido</t>
  </si>
  <si>
    <t>CB fertilizante</t>
  </si>
  <si>
    <t>Ecomic</t>
  </si>
  <si>
    <t>Materia orgánica</t>
  </si>
  <si>
    <t>Costo por qq +30 % utilidad</t>
  </si>
  <si>
    <t>Costo por qq + 30 % utilidad</t>
  </si>
  <si>
    <t>Suelo mejorado</t>
  </si>
  <si>
    <t>Producto: Plátano vianda extradenso</t>
  </si>
  <si>
    <t>Plátano vianda extradenso</t>
  </si>
  <si>
    <t>Nerea</t>
  </si>
  <si>
    <t>saco</t>
  </si>
  <si>
    <t>Producto: Malanga colocasia Palacio de la Revolución</t>
  </si>
  <si>
    <t>Producto: Malanga xanthosoma Palacio de la Revolución</t>
  </si>
  <si>
    <t>Producto: Plátano vianda extradenso Palacio de la Revolución</t>
  </si>
  <si>
    <t>Producto: Plátano burro  Palacio de la Revolución</t>
  </si>
  <si>
    <t>Producto: Plátano fruta  Palacio de la Revolución</t>
  </si>
  <si>
    <t>Producto: Boniato  Palacio de la Revolución</t>
  </si>
  <si>
    <t>PALACIO DE LA REVOLUCIÓN</t>
  </si>
  <si>
    <t xml:space="preserve">Producto: Yuca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</si>
</sst>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0.0"/>
    <numFmt numFmtId="166" formatCode="0.000"/>
    <numFmt numFmtId="167" formatCode="0.00000"/>
    <numFmt numFmtId="168" formatCode="d\-m\-yy;@"/>
    <numFmt numFmtId="169" formatCode="0.00_ ;\-0.00\ "/>
    <numFmt numFmtId="170" formatCode="0.0_ ;\-0.0\ "/>
  </numFmts>
  <fonts count="7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10"/>
      <name val="Tahoma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4"/>
      <name val="Calibri"/>
      <family val="2"/>
    </font>
    <font>
      <sz val="16"/>
      <name val="Calibri"/>
      <family val="2"/>
    </font>
    <font>
      <i/>
      <sz val="11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4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9"/>
      <color indexed="12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sz val="12"/>
      <color indexed="81"/>
      <name val="Tahoma"/>
      <family val="2"/>
    </font>
    <font>
      <b/>
      <sz val="12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</font>
    <font>
      <sz val="12"/>
      <name val="Times New Roman"/>
      <family val="1"/>
    </font>
    <font>
      <sz val="6"/>
      <name val="Times New Roman"/>
      <family val="1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2"/>
      <color theme="0"/>
      <name val="Arial"/>
      <family val="2"/>
    </font>
    <font>
      <sz val="12"/>
      <color rgb="FF0000FF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Times New Roman"/>
      <family val="1"/>
    </font>
    <font>
      <sz val="11"/>
      <color theme="0"/>
      <name val="Calibri"/>
      <family val="2"/>
    </font>
    <font>
      <sz val="14"/>
      <color rgb="FFFF0000"/>
      <name val="Arial"/>
      <family val="2"/>
    </font>
    <font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86A4E"/>
        <bgColor indexed="64"/>
      </patternFill>
    </fill>
    <fill>
      <patternFill patternType="solid">
        <fgColor rgb="FFC9A6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EDF4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rgb="FF000000"/>
      </left>
      <right style="mediumDashed">
        <color rgb="FF000000"/>
      </right>
      <top/>
      <bottom style="medium">
        <color rgb="FF000000"/>
      </bottom>
      <diagonal/>
    </border>
    <border>
      <left/>
      <right style="mediumDash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Dashed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Dashed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Dash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Dashed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9" fillId="0" borderId="0"/>
  </cellStyleXfs>
  <cellXfs count="2491">
    <xf numFmtId="0" fontId="0" fillId="0" borderId="0" xfId="0"/>
    <xf numFmtId="0" fontId="9" fillId="0" borderId="1" xfId="0" applyFont="1" applyFill="1" applyBorder="1" applyAlignment="1">
      <alignment horizontal="center"/>
    </xf>
    <xf numFmtId="0" fontId="3" fillId="0" borderId="0" xfId="0" applyFont="1"/>
    <xf numFmtId="0" fontId="5" fillId="0" borderId="2" xfId="0" applyFont="1" applyBorder="1"/>
    <xf numFmtId="2" fontId="5" fillId="0" borderId="3" xfId="0" applyNumberFormat="1" applyFont="1" applyBorder="1"/>
    <xf numFmtId="0" fontId="5" fillId="0" borderId="0" xfId="0" applyFont="1"/>
    <xf numFmtId="0" fontId="5" fillId="0" borderId="4" xfId="0" applyFont="1" applyBorder="1"/>
    <xf numFmtId="2" fontId="5" fillId="0" borderId="1" xfId="0" applyNumberFormat="1" applyFont="1" applyBorder="1"/>
    <xf numFmtId="2" fontId="5" fillId="0" borderId="0" xfId="0" applyNumberFormat="1" applyFont="1"/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/>
    <xf numFmtId="2" fontId="9" fillId="0" borderId="1" xfId="0" applyNumberFormat="1" applyFont="1" applyFill="1" applyBorder="1" applyAlignment="1"/>
    <xf numFmtId="2" fontId="9" fillId="0" borderId="6" xfId="0" applyNumberFormat="1" applyFont="1" applyFill="1" applyBorder="1" applyAlignment="1"/>
    <xf numFmtId="1" fontId="9" fillId="0" borderId="6" xfId="0" applyNumberFormat="1" applyFont="1" applyFill="1" applyBorder="1" applyAlignment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shrinkToFit="1"/>
    </xf>
    <xf numFmtId="0" fontId="2" fillId="0" borderId="17" xfId="0" applyFont="1" applyFill="1" applyBorder="1" applyAlignment="1">
      <alignment horizontal="center" shrinkToFit="1"/>
    </xf>
    <xf numFmtId="0" fontId="2" fillId="0" borderId="12" xfId="0" applyFont="1" applyFill="1" applyBorder="1" applyAlignment="1">
      <alignment horizontal="center" shrinkToFit="1"/>
    </xf>
    <xf numFmtId="0" fontId="2" fillId="0" borderId="18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2" fillId="0" borderId="19" xfId="0" applyFont="1" applyFill="1" applyBorder="1" applyAlignment="1">
      <alignment horizontal="center" shrinkToFit="1"/>
    </xf>
    <xf numFmtId="2" fontId="3" fillId="2" borderId="5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wrapText="1" shrinkToFit="1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1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left"/>
    </xf>
    <xf numFmtId="2" fontId="9" fillId="0" borderId="20" xfId="0" applyNumberFormat="1" applyFont="1" applyFill="1" applyBorder="1" applyAlignment="1"/>
    <xf numFmtId="1" fontId="2" fillId="0" borderId="7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shrinkToFit="1"/>
    </xf>
    <xf numFmtId="2" fontId="2" fillId="0" borderId="0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/>
    <xf numFmtId="2" fontId="9" fillId="0" borderId="3" xfId="0" applyNumberFormat="1" applyFont="1" applyFill="1" applyBorder="1" applyAlignment="1"/>
    <xf numFmtId="0" fontId="2" fillId="0" borderId="21" xfId="0" applyFont="1" applyFill="1" applyBorder="1" applyAlignment="1">
      <alignment horizontal="center"/>
    </xf>
    <xf numFmtId="2" fontId="2" fillId="0" borderId="21" xfId="0" applyNumberFormat="1" applyFont="1" applyFill="1" applyBorder="1" applyAlignment="1">
      <alignment horizontal="right"/>
    </xf>
    <xf numFmtId="2" fontId="9" fillId="0" borderId="20" xfId="0" applyNumberFormat="1" applyFont="1" applyFill="1" applyBorder="1" applyAlignment="1">
      <alignment horizontal="right"/>
    </xf>
    <xf numFmtId="0" fontId="9" fillId="0" borderId="21" xfId="0" applyFont="1" applyFill="1" applyBorder="1" applyAlignment="1">
      <alignment horizontal="center"/>
    </xf>
    <xf numFmtId="2" fontId="9" fillId="0" borderId="21" xfId="0" applyNumberFormat="1" applyFont="1" applyFill="1" applyBorder="1" applyAlignment="1">
      <alignment horizontal="right"/>
    </xf>
    <xf numFmtId="2" fontId="9" fillId="0" borderId="21" xfId="0" applyNumberFormat="1" applyFont="1" applyFill="1" applyBorder="1" applyAlignment="1"/>
    <xf numFmtId="1" fontId="2" fillId="0" borderId="17" xfId="0" applyNumberFormat="1" applyFont="1" applyFill="1" applyBorder="1" applyAlignment="1">
      <alignment horizontal="center" shrinkToFit="1"/>
    </xf>
    <xf numFmtId="2" fontId="9" fillId="0" borderId="0" xfId="0" applyNumberFormat="1" applyFont="1" applyFill="1" applyBorder="1" applyAlignment="1"/>
    <xf numFmtId="0" fontId="2" fillId="0" borderId="17" xfId="0" applyFont="1" applyFill="1" applyBorder="1" applyAlignment="1">
      <alignment shrinkToFit="1"/>
    </xf>
    <xf numFmtId="165" fontId="9" fillId="0" borderId="3" xfId="0" applyNumberFormat="1" applyFont="1" applyFill="1" applyBorder="1" applyAlignment="1"/>
    <xf numFmtId="165" fontId="9" fillId="0" borderId="1" xfId="0" applyNumberFormat="1" applyFont="1" applyFill="1" applyBorder="1" applyAlignment="1"/>
    <xf numFmtId="165" fontId="2" fillId="0" borderId="0" xfId="0" applyNumberFormat="1" applyFont="1" applyFill="1" applyBorder="1" applyAlignment="1"/>
    <xf numFmtId="2" fontId="2" fillId="0" borderId="0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0" fontId="2" fillId="0" borderId="22" xfId="0" applyFont="1" applyFill="1" applyBorder="1" applyAlignment="1">
      <alignment horizontal="center" shrinkToFit="1"/>
    </xf>
    <xf numFmtId="1" fontId="2" fillId="0" borderId="21" xfId="0" applyNumberFormat="1" applyFont="1" applyFill="1" applyBorder="1" applyAlignment="1">
      <alignment horizontal="right"/>
    </xf>
    <xf numFmtId="2" fontId="2" fillId="0" borderId="23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shrinkToFit="1"/>
    </xf>
    <xf numFmtId="2" fontId="5" fillId="0" borderId="22" xfId="0" applyNumberFormat="1" applyFont="1" applyBorder="1"/>
    <xf numFmtId="0" fontId="3" fillId="0" borderId="0" xfId="0" applyFont="1" applyAlignment="1">
      <alignment shrinkToFit="1"/>
    </xf>
    <xf numFmtId="2" fontId="10" fillId="0" borderId="12" xfId="0" applyNumberFormat="1" applyFont="1" applyBorder="1" applyAlignment="1">
      <alignment horizontal="center" vertical="center" shrinkToFit="1"/>
    </xf>
    <xf numFmtId="2" fontId="10" fillId="0" borderId="12" xfId="0" applyNumberFormat="1" applyFont="1" applyBorder="1" applyAlignment="1">
      <alignment horizontal="center" vertical="center" wrapText="1" shrinkToFit="1"/>
    </xf>
    <xf numFmtId="0" fontId="5" fillId="0" borderId="1" xfId="0" applyFont="1" applyBorder="1"/>
    <xf numFmtId="2" fontId="2" fillId="0" borderId="1" xfId="0" applyNumberFormat="1" applyFont="1" applyFill="1" applyBorder="1" applyAlignment="1">
      <alignment horizontal="right" shrinkToFit="1"/>
    </xf>
    <xf numFmtId="0" fontId="2" fillId="0" borderId="6" xfId="0" applyFont="1" applyFill="1" applyBorder="1" applyAlignment="1">
      <alignment horizontal="center" shrinkToFit="1"/>
    </xf>
    <xf numFmtId="2" fontId="2" fillId="0" borderId="24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1" xfId="0" quotePrefix="1" applyFont="1" applyFill="1" applyBorder="1" applyAlignment="1">
      <alignment horizontal="left"/>
    </xf>
    <xf numFmtId="2" fontId="9" fillId="0" borderId="1" xfId="0" applyNumberFormat="1" applyFont="1" applyFill="1" applyBorder="1"/>
    <xf numFmtId="0" fontId="2" fillId="0" borderId="2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shrinkToFit="1"/>
    </xf>
    <xf numFmtId="0" fontId="2" fillId="0" borderId="9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10" xfId="0" applyFont="1" applyFill="1" applyBorder="1" applyAlignment="1">
      <alignment horizontal="center" shrinkToFit="1"/>
    </xf>
    <xf numFmtId="0" fontId="2" fillId="0" borderId="13" xfId="0" applyFont="1" applyFill="1" applyBorder="1" applyAlignment="1">
      <alignment horizontal="center" shrinkToFit="1"/>
    </xf>
    <xf numFmtId="0" fontId="9" fillId="0" borderId="1" xfId="0" applyFont="1" applyFill="1" applyBorder="1" applyAlignment="1">
      <alignment shrinkToFit="1"/>
    </xf>
    <xf numFmtId="2" fontId="2" fillId="0" borderId="10" xfId="0" applyNumberFormat="1" applyFont="1" applyFill="1" applyBorder="1" applyAlignment="1">
      <alignment horizontal="center" shrinkToFit="1"/>
    </xf>
    <xf numFmtId="0" fontId="2" fillId="0" borderId="14" xfId="0" applyFont="1" applyFill="1" applyBorder="1" applyAlignment="1">
      <alignment horizontal="right" shrinkToFit="1"/>
    </xf>
    <xf numFmtId="168" fontId="2" fillId="0" borderId="11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 shrinkToFit="1"/>
    </xf>
    <xf numFmtId="0" fontId="2" fillId="0" borderId="1" xfId="0" applyFont="1" applyFill="1" applyBorder="1" applyAlignment="1"/>
    <xf numFmtId="0" fontId="2" fillId="0" borderId="10" xfId="0" applyFont="1" applyFill="1" applyBorder="1" applyAlignment="1">
      <alignment horizontal="left" shrinkToFit="1"/>
    </xf>
    <xf numFmtId="2" fontId="9" fillId="0" borderId="1" xfId="0" applyNumberFormat="1" applyFont="1" applyFill="1" applyBorder="1" applyAlignment="1">
      <alignment shrinkToFit="1"/>
    </xf>
    <xf numFmtId="2" fontId="9" fillId="0" borderId="20" xfId="0" applyNumberFormat="1" applyFont="1" applyFill="1" applyBorder="1" applyAlignment="1">
      <alignment shrinkToFit="1"/>
    </xf>
    <xf numFmtId="2" fontId="9" fillId="0" borderId="6" xfId="0" applyNumberFormat="1" applyFont="1" applyFill="1" applyBorder="1" applyAlignment="1">
      <alignment horizontal="right"/>
    </xf>
    <xf numFmtId="2" fontId="9" fillId="0" borderId="6" xfId="0" applyNumberFormat="1" applyFont="1" applyFill="1" applyBorder="1" applyAlignment="1">
      <alignment shrinkToFit="1"/>
    </xf>
    <xf numFmtId="2" fontId="9" fillId="0" borderId="21" xfId="0" applyNumberFormat="1" applyFont="1" applyFill="1" applyBorder="1" applyAlignment="1">
      <alignment shrinkToFit="1"/>
    </xf>
    <xf numFmtId="2" fontId="9" fillId="0" borderId="3" xfId="0" applyNumberFormat="1" applyFont="1" applyFill="1" applyBorder="1" applyAlignment="1">
      <alignment shrinkToFit="1"/>
    </xf>
    <xf numFmtId="2" fontId="9" fillId="0" borderId="26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3" fillId="0" borderId="0" xfId="0" applyFont="1" applyFill="1"/>
    <xf numFmtId="2" fontId="2" fillId="0" borderId="10" xfId="0" applyNumberFormat="1" applyFont="1" applyFill="1" applyBorder="1" applyAlignment="1">
      <alignment horizontal="center" wrapText="1" shrinkToFit="1"/>
    </xf>
    <xf numFmtId="2" fontId="3" fillId="0" borderId="1" xfId="0" applyNumberFormat="1" applyFont="1" applyBorder="1"/>
    <xf numFmtId="2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center"/>
    </xf>
    <xf numFmtId="2" fontId="3" fillId="0" borderId="0" xfId="0" applyNumberFormat="1" applyFont="1"/>
    <xf numFmtId="2" fontId="20" fillId="0" borderId="0" xfId="0" applyNumberFormat="1" applyFont="1" applyAlignment="1">
      <alignment horizontal="right"/>
    </xf>
    <xf numFmtId="1" fontId="6" fillId="0" borderId="6" xfId="3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1" fontId="6" fillId="0" borderId="20" xfId="3" applyNumberFormat="1" applyFont="1" applyFill="1" applyBorder="1" applyAlignment="1">
      <alignment horizontal="center" vertical="center" wrapText="1"/>
    </xf>
    <xf numFmtId="2" fontId="6" fillId="0" borderId="6" xfId="3" applyNumberFormat="1" applyFont="1" applyFill="1" applyBorder="1" applyAlignment="1">
      <alignment horizontal="center" vertical="center" wrapText="1"/>
    </xf>
    <xf numFmtId="166" fontId="6" fillId="0" borderId="3" xfId="3" applyNumberFormat="1" applyFont="1" applyFill="1" applyBorder="1" applyAlignment="1">
      <alignment horizontal="center" vertical="center" wrapText="1"/>
    </xf>
    <xf numFmtId="1" fontId="6" fillId="0" borderId="3" xfId="3" applyNumberFormat="1" applyFont="1" applyFill="1" applyBorder="1" applyAlignment="1">
      <alignment horizontal="right" vertical="center" wrapText="1"/>
    </xf>
    <xf numFmtId="1" fontId="6" fillId="0" borderId="3" xfId="3" applyNumberFormat="1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left" vertical="center" wrapText="1"/>
    </xf>
    <xf numFmtId="166" fontId="6" fillId="0" borderId="1" xfId="3" applyNumberFormat="1" applyFont="1" applyFill="1" applyBorder="1"/>
    <xf numFmtId="1" fontId="6" fillId="0" borderId="1" xfId="3" applyNumberFormat="1" applyFont="1" applyFill="1" applyBorder="1" applyAlignment="1">
      <alignment horizontal="right" vertical="center" wrapText="1"/>
    </xf>
    <xf numFmtId="2" fontId="6" fillId="0" borderId="1" xfId="3" applyNumberFormat="1" applyFont="1" applyFill="1" applyBorder="1" applyAlignment="1">
      <alignment horizontal="right" vertical="center" wrapText="1"/>
    </xf>
    <xf numFmtId="166" fontId="6" fillId="0" borderId="1" xfId="3" applyNumberFormat="1" applyFont="1" applyFill="1" applyBorder="1" applyAlignment="1">
      <alignment horizontal="left"/>
    </xf>
    <xf numFmtId="1" fontId="6" fillId="0" borderId="1" xfId="3" applyNumberFormat="1" applyFont="1" applyFill="1" applyBorder="1" applyAlignment="1">
      <alignment horizontal="right"/>
    </xf>
    <xf numFmtId="165" fontId="6" fillId="0" borderId="1" xfId="3" applyNumberFormat="1" applyFont="1" applyFill="1" applyBorder="1" applyAlignment="1">
      <alignment horizontal="right"/>
    </xf>
    <xf numFmtId="166" fontId="6" fillId="0" borderId="6" xfId="3" applyNumberFormat="1" applyFont="1" applyFill="1" applyBorder="1" applyAlignment="1">
      <alignment horizontal="left"/>
    </xf>
    <xf numFmtId="166" fontId="6" fillId="0" borderId="6" xfId="3" applyNumberFormat="1" applyFont="1" applyFill="1" applyBorder="1"/>
    <xf numFmtId="1" fontId="6" fillId="0" borderId="6" xfId="3" applyNumberFormat="1" applyFont="1" applyFill="1" applyBorder="1" applyAlignment="1">
      <alignment horizontal="right"/>
    </xf>
    <xf numFmtId="2" fontId="6" fillId="0" borderId="6" xfId="3" applyNumberFormat="1" applyFont="1" applyFill="1" applyBorder="1" applyAlignment="1">
      <alignment horizontal="right" vertical="center" wrapText="1"/>
    </xf>
    <xf numFmtId="166" fontId="6" fillId="0" borderId="27" xfId="3" applyNumberFormat="1" applyFont="1" applyFill="1" applyBorder="1" applyAlignment="1">
      <alignment horizontal="center"/>
    </xf>
    <xf numFmtId="166" fontId="6" fillId="0" borderId="27" xfId="3" applyNumberFormat="1" applyFont="1" applyFill="1" applyBorder="1" applyAlignment="1">
      <alignment horizontal="left"/>
    </xf>
    <xf numFmtId="1" fontId="6" fillId="0" borderId="27" xfId="3" applyNumberFormat="1" applyFont="1" applyFill="1" applyBorder="1" applyAlignment="1">
      <alignment horizontal="right"/>
    </xf>
    <xf numFmtId="1" fontId="6" fillId="0" borderId="27" xfId="3" applyNumberFormat="1" applyFont="1" applyFill="1" applyBorder="1" applyAlignment="1">
      <alignment horizontal="center"/>
    </xf>
    <xf numFmtId="2" fontId="6" fillId="0" borderId="27" xfId="3" applyNumberFormat="1" applyFont="1" applyFill="1" applyBorder="1" applyAlignment="1">
      <alignment horizontal="right"/>
    </xf>
    <xf numFmtId="166" fontId="6" fillId="0" borderId="20" xfId="3" applyNumberFormat="1" applyFont="1" applyFill="1" applyBorder="1" applyAlignment="1">
      <alignment horizontal="left"/>
    </xf>
    <xf numFmtId="166" fontId="6" fillId="0" borderId="20" xfId="3" applyNumberFormat="1" applyFont="1" applyFill="1" applyBorder="1"/>
    <xf numFmtId="1" fontId="6" fillId="0" borderId="20" xfId="3" applyNumberFormat="1" applyFont="1" applyFill="1" applyBorder="1" applyAlignment="1">
      <alignment horizontal="right"/>
    </xf>
    <xf numFmtId="2" fontId="6" fillId="0" borderId="20" xfId="3" applyNumberFormat="1" applyFont="1" applyFill="1" applyBorder="1" applyAlignment="1">
      <alignment horizontal="right" vertical="center" wrapText="1"/>
    </xf>
    <xf numFmtId="166" fontId="6" fillId="0" borderId="1" xfId="3" applyNumberFormat="1" applyFont="1" applyFill="1" applyBorder="1" applyAlignment="1">
      <alignment horizontal="center"/>
    </xf>
    <xf numFmtId="1" fontId="6" fillId="0" borderId="1" xfId="3" applyNumberFormat="1" applyFont="1" applyFill="1" applyBorder="1" applyAlignment="1">
      <alignment horizontal="center"/>
    </xf>
    <xf numFmtId="2" fontId="6" fillId="0" borderId="1" xfId="3" applyNumberFormat="1" applyFont="1" applyFill="1" applyBorder="1" applyAlignment="1">
      <alignment horizontal="right"/>
    </xf>
    <xf numFmtId="166" fontId="6" fillId="0" borderId="21" xfId="3" applyNumberFormat="1" applyFont="1" applyFill="1" applyBorder="1" applyAlignment="1">
      <alignment horizontal="left"/>
    </xf>
    <xf numFmtId="166" fontId="6" fillId="0" borderId="21" xfId="3" applyNumberFormat="1" applyFont="1" applyFill="1" applyBorder="1"/>
    <xf numFmtId="1" fontId="6" fillId="0" borderId="21" xfId="3" applyNumberFormat="1" applyFont="1" applyFill="1" applyBorder="1" applyAlignment="1">
      <alignment horizontal="right"/>
    </xf>
    <xf numFmtId="1" fontId="6" fillId="0" borderId="21" xfId="3" applyNumberFormat="1" applyFont="1" applyFill="1" applyBorder="1" applyAlignment="1">
      <alignment horizontal="center" vertical="center" wrapText="1"/>
    </xf>
    <xf numFmtId="2" fontId="6" fillId="0" borderId="21" xfId="3" applyNumberFormat="1" applyFont="1" applyFill="1" applyBorder="1" applyAlignment="1">
      <alignment horizontal="right" vertical="center" wrapText="1"/>
    </xf>
    <xf numFmtId="2" fontId="6" fillId="0" borderId="3" xfId="3" applyNumberFormat="1" applyFont="1" applyFill="1" applyBorder="1" applyAlignment="1">
      <alignment horizontal="right" vertical="center" wrapText="1"/>
    </xf>
    <xf numFmtId="2" fontId="3" fillId="0" borderId="3" xfId="3" applyNumberFormat="1" applyFont="1" applyFill="1" applyBorder="1" applyAlignment="1">
      <alignment horizontal="right" vertical="center" wrapText="1"/>
    </xf>
    <xf numFmtId="2" fontId="3" fillId="0" borderId="1" xfId="3" applyNumberFormat="1" applyFont="1" applyFill="1" applyBorder="1" applyAlignment="1">
      <alignment horizontal="right" vertical="center" wrapText="1"/>
    </xf>
    <xf numFmtId="0" fontId="20" fillId="0" borderId="0" xfId="0" applyFont="1"/>
    <xf numFmtId="2" fontId="20" fillId="0" borderId="0" xfId="0" applyNumberFormat="1" applyFont="1"/>
    <xf numFmtId="0" fontId="3" fillId="0" borderId="5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2" fontId="3" fillId="0" borderId="8" xfId="0" applyNumberFormat="1" applyFont="1" applyBorder="1" applyAlignment="1">
      <alignment horizontal="right" vertical="top" wrapText="1"/>
    </xf>
    <xf numFmtId="2" fontId="3" fillId="0" borderId="2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 shrinkToFit="1"/>
    </xf>
    <xf numFmtId="2" fontId="3" fillId="0" borderId="20" xfId="0" applyNumberFormat="1" applyFont="1" applyFill="1" applyBorder="1" applyAlignment="1">
      <alignment horizontal="right"/>
    </xf>
    <xf numFmtId="165" fontId="3" fillId="0" borderId="1" xfId="0" applyNumberFormat="1" applyFont="1" applyBorder="1"/>
    <xf numFmtId="2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/>
    <xf numFmtId="2" fontId="3" fillId="0" borderId="0" xfId="0" applyNumberFormat="1" applyFont="1" applyAlignment="1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/>
    <xf numFmtId="0" fontId="18" fillId="0" borderId="5" xfId="0" applyFont="1" applyBorder="1" applyAlignment="1">
      <alignment horizontal="center" wrapText="1" shrinkToFit="1"/>
    </xf>
    <xf numFmtId="0" fontId="18" fillId="0" borderId="4" xfId="0" applyFont="1" applyBorder="1" applyAlignment="1">
      <alignment horizontal="center"/>
    </xf>
    <xf numFmtId="0" fontId="18" fillId="0" borderId="4" xfId="0" applyFont="1" applyBorder="1"/>
    <xf numFmtId="0" fontId="18" fillId="0" borderId="0" xfId="0" applyFont="1" applyAlignment="1"/>
    <xf numFmtId="0" fontId="18" fillId="0" borderId="0" xfId="0" quotePrefix="1" applyFont="1" applyAlignment="1">
      <alignment horizontal="left"/>
    </xf>
    <xf numFmtId="0" fontId="18" fillId="0" borderId="0" xfId="0" applyFont="1"/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3" borderId="0" xfId="0" applyFont="1" applyFill="1"/>
    <xf numFmtId="0" fontId="3" fillId="0" borderId="29" xfId="0" applyFont="1" applyBorder="1"/>
    <xf numFmtId="2" fontId="3" fillId="0" borderId="21" xfId="0" applyNumberFormat="1" applyFont="1" applyBorder="1"/>
    <xf numFmtId="2" fontId="3" fillId="0" borderId="3" xfId="0" applyNumberFormat="1" applyFont="1" applyBorder="1"/>
    <xf numFmtId="2" fontId="3" fillId="0" borderId="22" xfId="0" applyNumberFormat="1" applyFont="1" applyBorder="1"/>
    <xf numFmtId="0" fontId="3" fillId="0" borderId="3" xfId="0" applyFont="1" applyBorder="1"/>
    <xf numFmtId="0" fontId="3" fillId="0" borderId="1" xfId="0" applyFont="1" applyBorder="1"/>
    <xf numFmtId="0" fontId="23" fillId="0" borderId="0" xfId="0" applyFont="1" applyFill="1"/>
    <xf numFmtId="0" fontId="23" fillId="0" borderId="25" xfId="0" applyFont="1" applyFill="1" applyBorder="1" applyAlignment="1">
      <alignment horizontal="center"/>
    </xf>
    <xf numFmtId="165" fontId="23" fillId="4" borderId="25" xfId="0" applyNumberFormat="1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 shrinkToFit="1"/>
    </xf>
    <xf numFmtId="0" fontId="23" fillId="0" borderId="25" xfId="0" applyFont="1" applyFill="1" applyBorder="1" applyAlignment="1">
      <alignment horizontal="right"/>
    </xf>
    <xf numFmtId="0" fontId="23" fillId="0" borderId="0" xfId="0" applyFont="1" applyFill="1" applyAlignment="1">
      <alignment horizontal="center" shrinkToFit="1"/>
    </xf>
    <xf numFmtId="49" fontId="23" fillId="0" borderId="2" xfId="0" applyNumberFormat="1" applyFont="1" applyFill="1" applyBorder="1" applyAlignment="1">
      <alignment horizontal="center"/>
    </xf>
    <xf numFmtId="0" fontId="23" fillId="0" borderId="3" xfId="0" applyFont="1" applyFill="1" applyBorder="1"/>
    <xf numFmtId="0" fontId="23" fillId="0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center"/>
    </xf>
    <xf numFmtId="2" fontId="23" fillId="0" borderId="3" xfId="0" applyNumberFormat="1" applyFont="1" applyFill="1" applyBorder="1" applyAlignment="1">
      <alignment horizontal="right"/>
    </xf>
    <xf numFmtId="2" fontId="9" fillId="0" borderId="3" xfId="0" applyNumberFormat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 shrinkToFit="1"/>
    </xf>
    <xf numFmtId="2" fontId="2" fillId="0" borderId="22" xfId="0" applyNumberFormat="1" applyFont="1" applyFill="1" applyBorder="1" applyAlignment="1">
      <alignment horizontal="right"/>
    </xf>
    <xf numFmtId="49" fontId="23" fillId="0" borderId="4" xfId="0" applyNumberFormat="1" applyFont="1" applyFill="1" applyBorder="1" applyAlignment="1">
      <alignment horizontal="center"/>
    </xf>
    <xf numFmtId="0" fontId="23" fillId="0" borderId="1" xfId="0" applyFont="1" applyFill="1" applyBorder="1"/>
    <xf numFmtId="0" fontId="23" fillId="0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2" fontId="23" fillId="0" borderId="1" xfId="0" applyNumberFormat="1" applyFont="1" applyFill="1" applyBorder="1" applyAlignment="1">
      <alignment horizontal="right"/>
    </xf>
    <xf numFmtId="2" fontId="2" fillId="0" borderId="30" xfId="0" applyNumberFormat="1" applyFont="1" applyFill="1" applyBorder="1" applyAlignment="1">
      <alignment horizontal="right"/>
    </xf>
    <xf numFmtId="0" fontId="23" fillId="0" borderId="1" xfId="0" quotePrefix="1" applyFont="1" applyFill="1" applyBorder="1" applyAlignment="1">
      <alignment horizontal="left"/>
    </xf>
    <xf numFmtId="0" fontId="23" fillId="0" borderId="1" xfId="0" applyFont="1" applyFill="1" applyBorder="1" applyAlignment="1">
      <alignment shrinkToFit="1"/>
    </xf>
    <xf numFmtId="0" fontId="23" fillId="0" borderId="6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shrinkToFit="1"/>
    </xf>
    <xf numFmtId="165" fontId="23" fillId="0" borderId="6" xfId="0" applyNumberFormat="1" applyFont="1" applyFill="1" applyBorder="1" applyAlignment="1">
      <alignment horizontal="center"/>
    </xf>
    <xf numFmtId="2" fontId="23" fillId="0" borderId="6" xfId="0" applyNumberFormat="1" applyFont="1" applyFill="1" applyBorder="1" applyAlignment="1">
      <alignment horizontal="center"/>
    </xf>
    <xf numFmtId="0" fontId="23" fillId="0" borderId="6" xfId="0" applyFont="1" applyFill="1" applyBorder="1" applyAlignment="1">
      <alignment horizontal="left"/>
    </xf>
    <xf numFmtId="0" fontId="23" fillId="0" borderId="6" xfId="0" applyFont="1" applyFill="1" applyBorder="1" applyAlignment="1">
      <alignment horizontal="right"/>
    </xf>
    <xf numFmtId="2" fontId="23" fillId="0" borderId="6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2" fontId="23" fillId="0" borderId="30" xfId="0" applyNumberFormat="1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left" shrinkToFit="1"/>
    </xf>
    <xf numFmtId="2" fontId="2" fillId="0" borderId="1" xfId="0" applyNumberFormat="1" applyFont="1" applyFill="1" applyBorder="1" applyAlignment="1">
      <alignment horizontal="right"/>
    </xf>
    <xf numFmtId="2" fontId="9" fillId="0" borderId="0" xfId="0" applyNumberFormat="1" applyFont="1" applyFill="1"/>
    <xf numFmtId="1" fontId="23" fillId="0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shrinkToFit="1"/>
    </xf>
    <xf numFmtId="0" fontId="23" fillId="0" borderId="1" xfId="0" applyFont="1" applyBorder="1" applyAlignment="1">
      <alignment horizontal="center" shrinkToFit="1"/>
    </xf>
    <xf numFmtId="165" fontId="23" fillId="0" borderId="1" xfId="0" applyNumberFormat="1" applyFont="1" applyBorder="1" applyAlignment="1">
      <alignment horizontal="center" shrinkToFit="1"/>
    </xf>
    <xf numFmtId="165" fontId="23" fillId="0" borderId="1" xfId="0" applyNumberFormat="1" applyFont="1" applyFill="1" applyBorder="1" applyAlignment="1"/>
    <xf numFmtId="2" fontId="23" fillId="0" borderId="1" xfId="0" applyNumberFormat="1" applyFont="1" applyFill="1" applyBorder="1" applyAlignment="1">
      <alignment shrinkToFit="1"/>
    </xf>
    <xf numFmtId="2" fontId="23" fillId="0" borderId="1" xfId="0" applyNumberFormat="1" applyFont="1" applyFill="1" applyBorder="1" applyAlignment="1"/>
    <xf numFmtId="2" fontId="23" fillId="0" borderId="1" xfId="0" applyNumberFormat="1" applyFont="1" applyBorder="1" applyAlignment="1">
      <alignment horizontal="center" shrinkToFit="1"/>
    </xf>
    <xf numFmtId="1" fontId="23" fillId="0" borderId="1" xfId="0" applyNumberFormat="1" applyFont="1" applyBorder="1" applyAlignment="1">
      <alignment horizontal="center" shrinkToFit="1"/>
    </xf>
    <xf numFmtId="0" fontId="23" fillId="0" borderId="1" xfId="0" applyFont="1" applyFill="1" applyBorder="1" applyAlignment="1">
      <alignment horizontal="left"/>
    </xf>
    <xf numFmtId="1" fontId="23" fillId="0" borderId="1" xfId="0" applyNumberFormat="1" applyFont="1" applyFill="1" applyBorder="1" applyAlignment="1"/>
    <xf numFmtId="1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left" shrinkToFit="1"/>
    </xf>
    <xf numFmtId="0" fontId="23" fillId="0" borderId="1" xfId="0" applyFont="1" applyFill="1" applyBorder="1" applyAlignment="1">
      <alignment horizontal="right"/>
    </xf>
    <xf numFmtId="49" fontId="23" fillId="0" borderId="29" xfId="0" applyNumberFormat="1" applyFont="1" applyFill="1" applyBorder="1" applyAlignment="1">
      <alignment horizontal="center"/>
    </xf>
    <xf numFmtId="0" fontId="23" fillId="0" borderId="21" xfId="0" applyFont="1" applyFill="1" applyBorder="1" applyAlignment="1">
      <alignment horizontal="left"/>
    </xf>
    <xf numFmtId="0" fontId="23" fillId="0" borderId="21" xfId="0" applyFont="1" applyFill="1" applyBorder="1" applyAlignment="1">
      <alignment horizontal="center"/>
    </xf>
    <xf numFmtId="2" fontId="23" fillId="0" borderId="21" xfId="0" applyNumberFormat="1" applyFont="1" applyFill="1" applyBorder="1" applyAlignment="1"/>
    <xf numFmtId="0" fontId="23" fillId="0" borderId="21" xfId="0" applyFont="1" applyFill="1" applyBorder="1" applyAlignment="1">
      <alignment horizontal="right"/>
    </xf>
    <xf numFmtId="2" fontId="23" fillId="0" borderId="21" xfId="0" applyNumberFormat="1" applyFont="1" applyFill="1" applyBorder="1" applyAlignment="1">
      <alignment horizontal="right"/>
    </xf>
    <xf numFmtId="0" fontId="23" fillId="0" borderId="21" xfId="0" applyFont="1" applyFill="1" applyBorder="1" applyAlignment="1">
      <alignment horizontal="left" shrinkToFit="1"/>
    </xf>
    <xf numFmtId="2" fontId="23" fillId="0" borderId="0" xfId="0" applyNumberFormat="1" applyFont="1" applyFill="1"/>
    <xf numFmtId="0" fontId="23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right"/>
    </xf>
    <xf numFmtId="0" fontId="23" fillId="0" borderId="1" xfId="0" applyFont="1" applyFill="1" applyBorder="1" applyAlignment="1"/>
    <xf numFmtId="2" fontId="2" fillId="0" borderId="1" xfId="0" applyNumberFormat="1" applyFont="1" applyFill="1" applyBorder="1" applyAlignment="1">
      <alignment horizontal="center"/>
    </xf>
    <xf numFmtId="165" fontId="23" fillId="0" borderId="21" xfId="0" applyNumberFormat="1" applyFont="1" applyFill="1" applyBorder="1" applyAlignment="1"/>
    <xf numFmtId="2" fontId="2" fillId="0" borderId="21" xfId="0" applyNumberFormat="1" applyFont="1" applyFill="1" applyBorder="1" applyAlignment="1">
      <alignment horizontal="right" shrinkToFit="1"/>
    </xf>
    <xf numFmtId="0" fontId="23" fillId="0" borderId="9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1" fontId="23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165" fontId="23" fillId="0" borderId="0" xfId="0" applyNumberFormat="1" applyFont="1" applyFill="1" applyBorder="1" applyAlignment="1"/>
    <xf numFmtId="2" fontId="23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left" shrinkToFit="1"/>
    </xf>
    <xf numFmtId="0" fontId="23" fillId="0" borderId="0" xfId="0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2" fontId="2" fillId="0" borderId="18" xfId="0" applyNumberFormat="1" applyFont="1" applyFill="1" applyBorder="1" applyAlignment="1">
      <alignment horizontal="right"/>
    </xf>
    <xf numFmtId="0" fontId="23" fillId="0" borderId="9" xfId="0" applyFont="1" applyFill="1" applyBorder="1" applyAlignment="1">
      <alignment horizontal="left"/>
    </xf>
    <xf numFmtId="0" fontId="23" fillId="0" borderId="18" xfId="0" applyFont="1" applyFill="1" applyBorder="1" applyAlignment="1">
      <alignment horizontal="left"/>
    </xf>
    <xf numFmtId="2" fontId="23" fillId="0" borderId="0" xfId="0" applyNumberFormat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3" fillId="0" borderId="25" xfId="0" applyFont="1" applyFill="1" applyBorder="1" applyAlignment="1">
      <alignment horizontal="left"/>
    </xf>
    <xf numFmtId="1" fontId="23" fillId="0" borderId="25" xfId="0" applyNumberFormat="1" applyFont="1" applyFill="1" applyBorder="1" applyAlignment="1">
      <alignment horizontal="center"/>
    </xf>
    <xf numFmtId="0" fontId="23" fillId="0" borderId="8" xfId="0" applyFont="1" applyFill="1" applyBorder="1" applyAlignment="1">
      <alignment horizontal="left"/>
    </xf>
    <xf numFmtId="165" fontId="23" fillId="0" borderId="25" xfId="0" applyNumberFormat="1" applyFont="1" applyFill="1" applyBorder="1" applyAlignment="1"/>
    <xf numFmtId="2" fontId="23" fillId="0" borderId="25" xfId="0" applyNumberFormat="1" applyFont="1" applyFill="1" applyBorder="1" applyAlignment="1">
      <alignment horizontal="left"/>
    </xf>
    <xf numFmtId="0" fontId="23" fillId="0" borderId="25" xfId="0" applyFont="1" applyFill="1" applyBorder="1" applyAlignment="1">
      <alignment horizontal="left" shrinkToFit="1"/>
    </xf>
    <xf numFmtId="0" fontId="9" fillId="0" borderId="25" xfId="0" applyFont="1" applyFill="1" applyBorder="1" applyAlignment="1">
      <alignment horizontal="right"/>
    </xf>
    <xf numFmtId="0" fontId="2" fillId="0" borderId="25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1" fontId="23" fillId="0" borderId="0" xfId="0" applyNumberFormat="1" applyFont="1" applyFill="1" applyAlignment="1">
      <alignment horizontal="center"/>
    </xf>
    <xf numFmtId="165" fontId="23" fillId="0" borderId="0" xfId="0" applyNumberFormat="1" applyFont="1" applyFill="1" applyAlignment="1"/>
    <xf numFmtId="2" fontId="23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shrinkToFit="1"/>
    </xf>
    <xf numFmtId="0" fontId="23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3" fillId="4" borderId="25" xfId="0" applyFont="1" applyFill="1" applyBorder="1" applyAlignment="1">
      <alignment horizontal="center"/>
    </xf>
    <xf numFmtId="2" fontId="23" fillId="0" borderId="25" xfId="0" applyNumberFormat="1" applyFont="1" applyFill="1" applyBorder="1" applyAlignment="1">
      <alignment horizontal="right"/>
    </xf>
    <xf numFmtId="49" fontId="9" fillId="0" borderId="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2" fontId="9" fillId="0" borderId="30" xfId="0" applyNumberFormat="1" applyFont="1" applyFill="1" applyBorder="1" applyAlignment="1">
      <alignment horizontal="right"/>
    </xf>
    <xf numFmtId="2" fontId="23" fillId="0" borderId="1" xfId="0" applyNumberFormat="1" applyFont="1" applyFill="1" applyBorder="1"/>
    <xf numFmtId="49" fontId="23" fillId="0" borderId="31" xfId="0" applyNumberFormat="1" applyFont="1" applyFill="1" applyBorder="1" applyAlignment="1">
      <alignment horizontal="center"/>
    </xf>
    <xf numFmtId="0" fontId="23" fillId="0" borderId="6" xfId="0" applyFont="1" applyFill="1" applyBorder="1" applyAlignment="1"/>
    <xf numFmtId="2" fontId="2" fillId="0" borderId="6" xfId="0" applyNumberFormat="1" applyFont="1" applyFill="1" applyBorder="1" applyAlignment="1">
      <alignment horizontal="right" shrinkToFit="1"/>
    </xf>
    <xf numFmtId="2" fontId="23" fillId="0" borderId="32" xfId="0" applyNumberFormat="1" applyFont="1" applyFill="1" applyBorder="1" applyAlignment="1">
      <alignment horizontal="right"/>
    </xf>
    <xf numFmtId="2" fontId="23" fillId="0" borderId="11" xfId="0" applyNumberFormat="1" applyFont="1" applyFill="1" applyBorder="1" applyAlignment="1">
      <alignment horizontal="center" wrapText="1" shrinkToFit="1"/>
    </xf>
    <xf numFmtId="49" fontId="23" fillId="0" borderId="33" xfId="0" applyNumberFormat="1" applyFont="1" applyFill="1" applyBorder="1" applyAlignment="1">
      <alignment horizontal="center"/>
    </xf>
    <xf numFmtId="0" fontId="23" fillId="0" borderId="20" xfId="0" applyFont="1" applyFill="1" applyBorder="1" applyAlignment="1"/>
    <xf numFmtId="0" fontId="23" fillId="0" borderId="20" xfId="0" applyFont="1" applyFill="1" applyBorder="1" applyAlignment="1">
      <alignment horizontal="center"/>
    </xf>
    <xf numFmtId="0" fontId="23" fillId="0" borderId="20" xfId="0" applyFont="1" applyFill="1" applyBorder="1" applyAlignment="1">
      <alignment horizontal="right"/>
    </xf>
    <xf numFmtId="2" fontId="23" fillId="0" borderId="20" xfId="0" applyNumberFormat="1" applyFont="1" applyFill="1" applyBorder="1" applyAlignment="1">
      <alignment horizontal="right"/>
    </xf>
    <xf numFmtId="0" fontId="23" fillId="0" borderId="20" xfId="0" applyFont="1" applyFill="1" applyBorder="1" applyAlignment="1">
      <alignment horizontal="left"/>
    </xf>
    <xf numFmtId="2" fontId="2" fillId="0" borderId="20" xfId="0" applyNumberFormat="1" applyFont="1" applyFill="1" applyBorder="1" applyAlignment="1">
      <alignment horizontal="right" shrinkToFit="1"/>
    </xf>
    <xf numFmtId="2" fontId="23" fillId="0" borderId="34" xfId="0" applyNumberFormat="1" applyFont="1" applyFill="1" applyBorder="1" applyAlignment="1">
      <alignment horizontal="right"/>
    </xf>
    <xf numFmtId="165" fontId="23" fillId="0" borderId="1" xfId="0" applyNumberFormat="1" applyFont="1" applyFill="1" applyBorder="1" applyAlignment="1">
      <alignment horizontal="right"/>
    </xf>
    <xf numFmtId="49" fontId="9" fillId="0" borderId="31" xfId="0" applyNumberFormat="1" applyFont="1" applyFill="1" applyBorder="1" applyAlignment="1">
      <alignment horizontal="center"/>
    </xf>
    <xf numFmtId="0" fontId="9" fillId="0" borderId="6" xfId="0" applyFont="1" applyFill="1" applyBorder="1" applyAlignment="1"/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left"/>
    </xf>
    <xf numFmtId="2" fontId="9" fillId="0" borderId="32" xfId="0" applyNumberFormat="1" applyFont="1" applyFill="1" applyBorder="1" applyAlignment="1">
      <alignment horizontal="right"/>
    </xf>
    <xf numFmtId="0" fontId="9" fillId="0" borderId="0" xfId="0" applyFont="1" applyFill="1"/>
    <xf numFmtId="0" fontId="23" fillId="0" borderId="4" xfId="0" applyFont="1" applyFill="1" applyBorder="1"/>
    <xf numFmtId="2" fontId="23" fillId="0" borderId="18" xfId="0" applyNumberFormat="1" applyFont="1" applyFill="1" applyBorder="1" applyAlignment="1">
      <alignment horizontal="center"/>
    </xf>
    <xf numFmtId="2" fontId="23" fillId="0" borderId="18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left"/>
    </xf>
    <xf numFmtId="0" fontId="23" fillId="0" borderId="5" xfId="0" applyFont="1" applyFill="1" applyBorder="1" applyAlignment="1">
      <alignment horizontal="center"/>
    </xf>
    <xf numFmtId="168" fontId="23" fillId="0" borderId="11" xfId="0" applyNumberFormat="1" applyFont="1" applyFill="1" applyBorder="1" applyAlignment="1">
      <alignment horizontal="center"/>
    </xf>
    <xf numFmtId="2" fontId="9" fillId="0" borderId="25" xfId="0" applyNumberFormat="1" applyFont="1" applyFill="1" applyBorder="1" applyAlignment="1">
      <alignment horizontal="right"/>
    </xf>
    <xf numFmtId="0" fontId="23" fillId="0" borderId="8" xfId="0" applyFont="1" applyFill="1" applyBorder="1" applyAlignment="1">
      <alignment horizontal="right"/>
    </xf>
    <xf numFmtId="2" fontId="9" fillId="0" borderId="0" xfId="0" applyNumberFormat="1" applyFont="1" applyFill="1" applyAlignment="1">
      <alignment horizontal="right"/>
    </xf>
    <xf numFmtId="1" fontId="23" fillId="4" borderId="25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2" fontId="23" fillId="0" borderId="0" xfId="0" applyNumberFormat="1" applyFont="1" applyFill="1" applyAlignment="1">
      <alignment horizontal="center"/>
    </xf>
    <xf numFmtId="0" fontId="23" fillId="0" borderId="26" xfId="0" applyFont="1" applyBorder="1" applyAlignment="1">
      <alignment horizontal="center" shrinkToFit="1"/>
    </xf>
    <xf numFmtId="0" fontId="23" fillId="0" borderId="1" xfId="0" applyFont="1" applyBorder="1" applyAlignment="1">
      <alignment horizontal="left" shrinkToFit="1"/>
    </xf>
    <xf numFmtId="0" fontId="23" fillId="0" borderId="1" xfId="0" quotePrefix="1" applyFont="1" applyFill="1" applyBorder="1" applyAlignment="1">
      <alignment horizontal="left" shrinkToFit="1"/>
    </xf>
    <xf numFmtId="0" fontId="23" fillId="0" borderId="20" xfId="0" applyFont="1" applyBorder="1" applyAlignment="1">
      <alignment horizontal="center" shrinkToFit="1"/>
    </xf>
    <xf numFmtId="0" fontId="9" fillId="0" borderId="1" xfId="0" applyFont="1" applyFill="1" applyBorder="1" applyAlignment="1">
      <alignment horizontal="left" shrinkToFit="1"/>
    </xf>
    <xf numFmtId="2" fontId="23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Alignment="1">
      <alignment horizontal="right"/>
    </xf>
    <xf numFmtId="2" fontId="9" fillId="0" borderId="6" xfId="0" applyNumberFormat="1" applyFont="1" applyFill="1" applyBorder="1" applyAlignment="1">
      <alignment horizontal="center"/>
    </xf>
    <xf numFmtId="2" fontId="23" fillId="0" borderId="19" xfId="0" applyNumberFormat="1" applyFont="1" applyFill="1" applyBorder="1" applyAlignment="1">
      <alignment horizontal="left"/>
    </xf>
    <xf numFmtId="0" fontId="23" fillId="0" borderId="19" xfId="0" applyFont="1" applyFill="1" applyBorder="1" applyAlignment="1">
      <alignment horizontal="left"/>
    </xf>
    <xf numFmtId="2" fontId="23" fillId="0" borderId="19" xfId="0" applyNumberFormat="1" applyFont="1" applyFill="1" applyBorder="1" applyAlignment="1">
      <alignment horizontal="right"/>
    </xf>
    <xf numFmtId="0" fontId="23" fillId="0" borderId="7" xfId="0" applyFont="1" applyFill="1" applyBorder="1" applyAlignment="1">
      <alignment horizontal="center"/>
    </xf>
    <xf numFmtId="2" fontId="23" fillId="0" borderId="7" xfId="0" applyNumberFormat="1" applyFont="1" applyFill="1" applyBorder="1" applyAlignment="1">
      <alignment horizontal="center"/>
    </xf>
    <xf numFmtId="0" fontId="23" fillId="0" borderId="7" xfId="0" applyFont="1" applyFill="1" applyBorder="1" applyAlignment="1">
      <alignment horizontal="left"/>
    </xf>
    <xf numFmtId="2" fontId="2" fillId="0" borderId="35" xfId="0" applyNumberFormat="1" applyFont="1" applyFill="1" applyBorder="1" applyAlignment="1">
      <alignment horizontal="right" shrinkToFit="1"/>
    </xf>
    <xf numFmtId="1" fontId="23" fillId="0" borderId="0" xfId="0" applyNumberFormat="1" applyFont="1" applyFill="1" applyAlignment="1">
      <alignment horizontal="right"/>
    </xf>
    <xf numFmtId="0" fontId="2" fillId="0" borderId="36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26" xfId="0" applyFont="1" applyBorder="1" applyAlignment="1">
      <alignment horizontal="center" shrinkToFit="1"/>
    </xf>
    <xf numFmtId="49" fontId="23" fillId="0" borderId="21" xfId="0" applyNumberFormat="1" applyFont="1" applyFill="1" applyBorder="1" applyAlignment="1">
      <alignment horizontal="center"/>
    </xf>
    <xf numFmtId="0" fontId="23" fillId="0" borderId="21" xfId="0" applyFont="1" applyFill="1" applyBorder="1" applyAlignment="1"/>
    <xf numFmtId="0" fontId="23" fillId="0" borderId="0" xfId="0" applyFont="1" applyFill="1" applyBorder="1"/>
    <xf numFmtId="49" fontId="23" fillId="0" borderId="20" xfId="0" applyNumberFormat="1" applyFont="1" applyFill="1" applyBorder="1" applyAlignment="1">
      <alignment horizontal="center"/>
    </xf>
    <xf numFmtId="2" fontId="2" fillId="0" borderId="20" xfId="0" applyNumberFormat="1" applyFont="1" applyFill="1" applyBorder="1" applyAlignment="1">
      <alignment horizontal="right"/>
    </xf>
    <xf numFmtId="49" fontId="23" fillId="0" borderId="6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right"/>
    </xf>
    <xf numFmtId="2" fontId="23" fillId="0" borderId="26" xfId="0" applyNumberFormat="1" applyFont="1" applyFill="1" applyBorder="1" applyAlignment="1">
      <alignment horizontal="right"/>
    </xf>
    <xf numFmtId="49" fontId="9" fillId="0" borderId="20" xfId="0" applyNumberFormat="1" applyFont="1" applyFill="1" applyBorder="1" applyAlignment="1">
      <alignment horizontal="center"/>
    </xf>
    <xf numFmtId="0" fontId="9" fillId="0" borderId="20" xfId="0" applyFont="1" applyFill="1" applyBorder="1" applyAlignment="1"/>
    <xf numFmtId="0" fontId="9" fillId="0" borderId="20" xfId="0" applyFont="1" applyFill="1" applyBorder="1" applyAlignment="1">
      <alignment horizontal="left"/>
    </xf>
    <xf numFmtId="2" fontId="9" fillId="0" borderId="19" xfId="0" applyNumberFormat="1" applyFont="1" applyFill="1" applyBorder="1" applyAlignment="1">
      <alignment horizontal="right"/>
    </xf>
    <xf numFmtId="0" fontId="23" fillId="0" borderId="19" xfId="0" applyFont="1" applyFill="1" applyBorder="1" applyAlignment="1">
      <alignment horizontal="right"/>
    </xf>
    <xf numFmtId="2" fontId="2" fillId="0" borderId="16" xfId="0" applyNumberFormat="1" applyFont="1" applyFill="1" applyBorder="1" applyAlignment="1">
      <alignment horizontal="right" shrinkToFit="1"/>
    </xf>
    <xf numFmtId="0" fontId="23" fillId="0" borderId="10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2" fontId="23" fillId="0" borderId="19" xfId="0" applyNumberFormat="1" applyFont="1" applyFill="1" applyBorder="1" applyAlignment="1">
      <alignment horizontal="center"/>
    </xf>
    <xf numFmtId="0" fontId="9" fillId="0" borderId="19" xfId="0" applyFont="1" applyFill="1" applyBorder="1" applyAlignment="1">
      <alignment horizontal="right"/>
    </xf>
    <xf numFmtId="2" fontId="2" fillId="0" borderId="19" xfId="0" applyNumberFormat="1" applyFont="1" applyFill="1" applyBorder="1" applyAlignment="1">
      <alignment horizontal="right"/>
    </xf>
    <xf numFmtId="2" fontId="23" fillId="0" borderId="17" xfId="0" applyNumberFormat="1" applyFont="1" applyFill="1" applyBorder="1" applyAlignment="1">
      <alignment horizontal="right"/>
    </xf>
    <xf numFmtId="2" fontId="23" fillId="0" borderId="9" xfId="0" applyNumberFormat="1" applyFont="1" applyFill="1" applyBorder="1" applyAlignment="1">
      <alignment horizontal="center" wrapText="1" shrinkToFit="1"/>
    </xf>
    <xf numFmtId="0" fontId="23" fillId="0" borderId="20" xfId="0" applyFont="1" applyFill="1" applyBorder="1"/>
    <xf numFmtId="2" fontId="23" fillId="0" borderId="20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20" xfId="0" applyFont="1" applyFill="1" applyBorder="1"/>
    <xf numFmtId="2" fontId="2" fillId="0" borderId="1" xfId="0" applyNumberFormat="1" applyFont="1" applyFill="1" applyBorder="1"/>
    <xf numFmtId="0" fontId="9" fillId="0" borderId="20" xfId="0" applyFont="1" applyFill="1" applyBorder="1"/>
    <xf numFmtId="0" fontId="23" fillId="0" borderId="1" xfId="0" applyFont="1" applyFill="1" applyBorder="1" applyAlignment="1">
      <alignment horizontal="center" shrinkToFit="1"/>
    </xf>
    <xf numFmtId="0" fontId="23" fillId="0" borderId="20" xfId="0" applyFont="1" applyFill="1" applyBorder="1" applyAlignment="1">
      <alignment shrinkToFit="1"/>
    </xf>
    <xf numFmtId="0" fontId="23" fillId="0" borderId="21" xfId="0" applyFont="1" applyFill="1" applyBorder="1"/>
    <xf numFmtId="2" fontId="23" fillId="0" borderId="21" xfId="0" applyNumberFormat="1" applyFont="1" applyFill="1" applyBorder="1"/>
    <xf numFmtId="0" fontId="9" fillId="0" borderId="21" xfId="0" applyFont="1" applyFill="1" applyBorder="1"/>
    <xf numFmtId="2" fontId="9" fillId="0" borderId="2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/>
    </xf>
    <xf numFmtId="2" fontId="23" fillId="0" borderId="21" xfId="0" applyNumberFormat="1" applyFont="1" applyFill="1" applyBorder="1" applyAlignment="1">
      <alignment horizontal="right" shrinkToFit="1"/>
    </xf>
    <xf numFmtId="49" fontId="23" fillId="0" borderId="9" xfId="0" applyNumberFormat="1" applyFont="1" applyFill="1" applyBorder="1" applyAlignment="1">
      <alignment horizontal="center"/>
    </xf>
    <xf numFmtId="2" fontId="23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right" shrinkToFit="1"/>
    </xf>
    <xf numFmtId="2" fontId="23" fillId="0" borderId="20" xfId="0" applyNumberFormat="1" applyFont="1" applyFill="1" applyBorder="1" applyAlignment="1">
      <alignment shrinkToFit="1"/>
    </xf>
    <xf numFmtId="2" fontId="2" fillId="0" borderId="1" xfId="0" applyNumberFormat="1" applyFont="1" applyFill="1" applyBorder="1" applyAlignment="1">
      <alignment shrinkToFit="1"/>
    </xf>
    <xf numFmtId="2" fontId="23" fillId="0" borderId="1" xfId="0" applyNumberFormat="1" applyFont="1" applyFill="1" applyBorder="1" applyAlignment="1">
      <alignment horizontal="right" shrinkToFit="1"/>
    </xf>
    <xf numFmtId="2" fontId="23" fillId="0" borderId="21" xfId="0" applyNumberFormat="1" applyFont="1" applyFill="1" applyBorder="1" applyAlignment="1">
      <alignment shrinkToFit="1"/>
    </xf>
    <xf numFmtId="0" fontId="23" fillId="2" borderId="0" xfId="0" applyFont="1" applyFill="1"/>
    <xf numFmtId="2" fontId="2" fillId="0" borderId="7" xfId="0" applyNumberFormat="1" applyFont="1" applyFill="1" applyBorder="1" applyAlignment="1">
      <alignment horizontal="right" shrinkToFit="1"/>
    </xf>
    <xf numFmtId="0" fontId="23" fillId="0" borderId="0" xfId="0" applyFont="1" applyFill="1" applyAlignment="1">
      <alignment shrinkToFit="1"/>
    </xf>
    <xf numFmtId="2" fontId="23" fillId="0" borderId="9" xfId="0" applyNumberFormat="1" applyFont="1" applyFill="1" applyBorder="1" applyAlignment="1">
      <alignment horizontal="center" shrinkToFit="1"/>
    </xf>
    <xf numFmtId="2" fontId="23" fillId="0" borderId="11" xfId="0" applyNumberFormat="1" applyFont="1" applyFill="1" applyBorder="1" applyAlignment="1">
      <alignment horizontal="center" shrinkToFit="1"/>
    </xf>
    <xf numFmtId="2" fontId="23" fillId="0" borderId="1" xfId="0" applyNumberFormat="1" applyFont="1" applyFill="1" applyBorder="1" applyAlignment="1">
      <alignment horizontal="left"/>
    </xf>
    <xf numFmtId="165" fontId="23" fillId="0" borderId="0" xfId="0" applyNumberFormat="1" applyFont="1" applyFill="1" applyAlignment="1">
      <alignment horizontal="center"/>
    </xf>
    <xf numFmtId="0" fontId="9" fillId="0" borderId="0" xfId="0" applyFont="1"/>
    <xf numFmtId="0" fontId="2" fillId="0" borderId="9" xfId="0" applyFont="1" applyBorder="1" applyAlignment="1">
      <alignment horizontal="right"/>
    </xf>
    <xf numFmtId="0" fontId="24" fillId="0" borderId="0" xfId="0" applyFont="1" applyBorder="1" applyAlignment="1" applyProtection="1">
      <protection locked="0"/>
    </xf>
    <xf numFmtId="1" fontId="24" fillId="0" borderId="0" xfId="0" applyNumberFormat="1" applyFont="1" applyBorder="1" applyAlignment="1" applyProtection="1">
      <protection locked="0"/>
    </xf>
    <xf numFmtId="2" fontId="24" fillId="0" borderId="0" xfId="0" applyNumberFormat="1" applyFont="1" applyBorder="1" applyAlignment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2" fontId="9" fillId="0" borderId="1" xfId="0" applyNumberFormat="1" applyFont="1" applyBorder="1"/>
    <xf numFmtId="0" fontId="2" fillId="3" borderId="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right"/>
    </xf>
    <xf numFmtId="2" fontId="9" fillId="3" borderId="1" xfId="0" applyNumberFormat="1" applyFont="1" applyFill="1" applyBorder="1" applyAlignment="1">
      <alignment horizontal="center"/>
    </xf>
    <xf numFmtId="0" fontId="23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21" xfId="0" applyFont="1" applyBorder="1"/>
    <xf numFmtId="2" fontId="9" fillId="0" borderId="21" xfId="0" applyNumberFormat="1" applyFont="1" applyBorder="1"/>
    <xf numFmtId="2" fontId="3" fillId="0" borderId="37" xfId="0" applyNumberFormat="1" applyFont="1" applyFill="1" applyBorder="1" applyAlignment="1">
      <alignment horizontal="center"/>
    </xf>
    <xf numFmtId="2" fontId="3" fillId="0" borderId="38" xfId="0" applyNumberFormat="1" applyFont="1" applyFill="1" applyBorder="1" applyAlignment="1">
      <alignment horizontal="center"/>
    </xf>
    <xf numFmtId="0" fontId="27" fillId="0" borderId="4" xfId="1" applyFont="1" applyBorder="1" applyAlignment="1" applyProtection="1"/>
    <xf numFmtId="2" fontId="3" fillId="0" borderId="1" xfId="1" applyNumberFormat="1" applyFont="1" applyBorder="1" applyAlignment="1" applyProtection="1"/>
    <xf numFmtId="2" fontId="3" fillId="0" borderId="1" xfId="1" applyNumberFormat="1" applyFont="1" applyFill="1" applyBorder="1" applyAlignment="1" applyProtection="1">
      <alignment horizontal="right"/>
    </xf>
    <xf numFmtId="0" fontId="28" fillId="0" borderId="19" xfId="0" applyFont="1" applyBorder="1" applyAlignment="1">
      <alignment horizontal="center" vertical="center" wrapText="1"/>
    </xf>
    <xf numFmtId="2" fontId="18" fillId="0" borderId="19" xfId="0" applyNumberFormat="1" applyFont="1" applyBorder="1"/>
    <xf numFmtId="2" fontId="18" fillId="0" borderId="17" xfId="0" applyNumberFormat="1" applyFont="1" applyBorder="1"/>
    <xf numFmtId="1" fontId="18" fillId="0" borderId="9" xfId="0" applyNumberFormat="1" applyFont="1" applyBorder="1" applyAlignment="1">
      <alignment horizontal="center"/>
    </xf>
    <xf numFmtId="2" fontId="18" fillId="0" borderId="0" xfId="0" applyNumberFormat="1" applyFont="1" applyBorder="1"/>
    <xf numFmtId="2" fontId="18" fillId="0" borderId="25" xfId="0" applyNumberFormat="1" applyFont="1" applyBorder="1"/>
    <xf numFmtId="2" fontId="18" fillId="0" borderId="8" xfId="0" applyNumberFormat="1" applyFont="1" applyBorder="1"/>
    <xf numFmtId="2" fontId="18" fillId="0" borderId="9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2" fontId="18" fillId="0" borderId="39" xfId="0" applyNumberFormat="1" applyFont="1" applyBorder="1"/>
    <xf numFmtId="1" fontId="18" fillId="0" borderId="9" xfId="0" applyNumberFormat="1" applyFont="1" applyBorder="1" applyAlignment="1">
      <alignment horizontal="center" vertical="center" wrapText="1"/>
    </xf>
    <xf numFmtId="2" fontId="18" fillId="0" borderId="12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2" fontId="18" fillId="0" borderId="40" xfId="0" applyNumberFormat="1" applyFont="1" applyBorder="1" applyAlignment="1">
      <alignment horizontal="center" vertical="center" wrapText="1"/>
    </xf>
    <xf numFmtId="2" fontId="18" fillId="0" borderId="41" xfId="0" applyNumberFormat="1" applyFont="1" applyBorder="1" applyAlignment="1">
      <alignment horizontal="center" vertical="center" wrapText="1"/>
    </xf>
    <xf numFmtId="2" fontId="18" fillId="0" borderId="18" xfId="0" applyNumberFormat="1" applyFont="1" applyBorder="1" applyAlignment="1">
      <alignment horizontal="center" vertical="center" wrapText="1"/>
    </xf>
    <xf numFmtId="2" fontId="18" fillId="0" borderId="42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5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/>
    </xf>
    <xf numFmtId="0" fontId="18" fillId="0" borderId="3" xfId="0" applyFont="1" applyBorder="1"/>
    <xf numFmtId="2" fontId="18" fillId="0" borderId="3" xfId="0" applyNumberFormat="1" applyFont="1" applyBorder="1"/>
    <xf numFmtId="2" fontId="18" fillId="0" borderId="3" xfId="0" applyNumberFormat="1" applyFont="1" applyBorder="1" applyAlignment="1">
      <alignment horizontal="center"/>
    </xf>
    <xf numFmtId="2" fontId="6" fillId="0" borderId="3" xfId="0" applyNumberFormat="1" applyFont="1" applyFill="1" applyBorder="1"/>
    <xf numFmtId="2" fontId="18" fillId="0" borderId="22" xfId="0" applyNumberFormat="1" applyFont="1" applyBorder="1"/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/>
    <xf numFmtId="2" fontId="18" fillId="0" borderId="1" xfId="0" applyNumberFormat="1" applyFont="1" applyBorder="1"/>
    <xf numFmtId="2" fontId="18" fillId="0" borderId="1" xfId="0" applyNumberFormat="1" applyFont="1" applyBorder="1" applyAlignment="1">
      <alignment horizontal="center"/>
    </xf>
    <xf numFmtId="2" fontId="6" fillId="0" borderId="1" xfId="0" applyNumberFormat="1" applyFont="1" applyFill="1" applyBorder="1"/>
    <xf numFmtId="1" fontId="18" fillId="0" borderId="29" xfId="0" applyNumberFormat="1" applyFont="1" applyBorder="1" applyAlignment="1">
      <alignment horizontal="center"/>
    </xf>
    <xf numFmtId="0" fontId="18" fillId="0" borderId="21" xfId="0" applyFont="1" applyBorder="1"/>
    <xf numFmtId="2" fontId="18" fillId="0" borderId="21" xfId="0" applyNumberFormat="1" applyFont="1" applyBorder="1"/>
    <xf numFmtId="2" fontId="18" fillId="0" borderId="21" xfId="0" applyNumberFormat="1" applyFont="1" applyBorder="1" applyAlignment="1">
      <alignment horizontal="center"/>
    </xf>
    <xf numFmtId="2" fontId="3" fillId="0" borderId="21" xfId="3" applyNumberFormat="1" applyFont="1" applyFill="1" applyBorder="1" applyAlignment="1">
      <alignment horizontal="right" vertical="center" wrapText="1"/>
    </xf>
    <xf numFmtId="2" fontId="6" fillId="0" borderId="21" xfId="0" applyNumberFormat="1" applyFont="1" applyFill="1" applyBorder="1"/>
    <xf numFmtId="2" fontId="23" fillId="0" borderId="0" xfId="0" applyNumberFormat="1" applyFont="1"/>
    <xf numFmtId="0" fontId="6" fillId="0" borderId="0" xfId="0" applyFont="1" applyFill="1" applyAlignment="1">
      <alignment horizontal="center"/>
    </xf>
    <xf numFmtId="2" fontId="6" fillId="0" borderId="19" xfId="0" applyNumberFormat="1" applyFont="1" applyFill="1" applyBorder="1"/>
    <xf numFmtId="0" fontId="6" fillId="0" borderId="19" xfId="0" applyFont="1" applyFill="1" applyBorder="1"/>
    <xf numFmtId="0" fontId="6" fillId="0" borderId="17" xfId="0" applyFont="1" applyFill="1" applyBorder="1"/>
    <xf numFmtId="2" fontId="6" fillId="0" borderId="25" xfId="0" applyNumberFormat="1" applyFont="1" applyFill="1" applyBorder="1"/>
    <xf numFmtId="0" fontId="6" fillId="0" borderId="25" xfId="0" applyFont="1" applyFill="1" applyBorder="1"/>
    <xf numFmtId="0" fontId="6" fillId="0" borderId="8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30" xfId="0" applyNumberFormat="1" applyFont="1" applyFill="1" applyBorder="1"/>
    <xf numFmtId="0" fontId="6" fillId="0" borderId="31" xfId="0" applyFont="1" applyFill="1" applyBorder="1" applyAlignment="1">
      <alignment horizontal="center"/>
    </xf>
    <xf numFmtId="2" fontId="6" fillId="0" borderId="6" xfId="3" applyNumberFormat="1" applyFont="1" applyFill="1" applyBorder="1" applyAlignment="1">
      <alignment horizontal="right"/>
    </xf>
    <xf numFmtId="2" fontId="6" fillId="0" borderId="6" xfId="0" applyNumberFormat="1" applyFont="1" applyFill="1" applyBorder="1"/>
    <xf numFmtId="2" fontId="6" fillId="0" borderId="32" xfId="0" applyNumberFormat="1" applyFont="1" applyFill="1" applyBorder="1"/>
    <xf numFmtId="0" fontId="6" fillId="0" borderId="43" xfId="0" applyFont="1" applyFill="1" applyBorder="1" applyAlignment="1">
      <alignment horizontal="center"/>
    </xf>
    <xf numFmtId="2" fontId="6" fillId="0" borderId="27" xfId="0" applyNumberFormat="1" applyFont="1" applyFill="1" applyBorder="1"/>
    <xf numFmtId="0" fontId="6" fillId="0" borderId="27" xfId="0" applyFont="1" applyFill="1" applyBorder="1"/>
    <xf numFmtId="2" fontId="6" fillId="0" borderId="15" xfId="0" applyNumberFormat="1" applyFont="1" applyFill="1" applyBorder="1"/>
    <xf numFmtId="0" fontId="6" fillId="0" borderId="33" xfId="0" applyFont="1" applyFill="1" applyBorder="1" applyAlignment="1">
      <alignment horizontal="center"/>
    </xf>
    <xf numFmtId="2" fontId="6" fillId="0" borderId="20" xfId="3" applyNumberFormat="1" applyFont="1" applyFill="1" applyBorder="1" applyAlignment="1">
      <alignment horizontal="right"/>
    </xf>
    <xf numFmtId="2" fontId="6" fillId="0" borderId="20" xfId="0" applyNumberFormat="1" applyFont="1" applyFill="1" applyBorder="1"/>
    <xf numFmtId="2" fontId="6" fillId="0" borderId="34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right"/>
    </xf>
    <xf numFmtId="0" fontId="6" fillId="0" borderId="29" xfId="0" applyFont="1" applyFill="1" applyBorder="1" applyAlignment="1">
      <alignment horizontal="center"/>
    </xf>
    <xf numFmtId="2" fontId="6" fillId="0" borderId="21" xfId="3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0" fontId="26" fillId="0" borderId="13" xfId="0" applyFont="1" applyBorder="1" applyAlignment="1">
      <alignment horizontal="left"/>
    </xf>
    <xf numFmtId="0" fontId="26" fillId="0" borderId="25" xfId="0" applyFont="1" applyBorder="1" applyAlignment="1">
      <alignment horizontal="left"/>
    </xf>
    <xf numFmtId="0" fontId="9" fillId="0" borderId="25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/>
    <xf numFmtId="0" fontId="9" fillId="0" borderId="19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26" fillId="0" borderId="0" xfId="0" applyFont="1" applyBorder="1" applyAlignment="1">
      <alignment horizontal="left"/>
    </xf>
    <xf numFmtId="0" fontId="9" fillId="0" borderId="0" xfId="0" applyFont="1" applyFill="1" applyBorder="1"/>
    <xf numFmtId="0" fontId="9" fillId="0" borderId="25" xfId="0" applyFont="1" applyFill="1" applyBorder="1"/>
    <xf numFmtId="0" fontId="9" fillId="0" borderId="9" xfId="0" applyFont="1" applyFill="1" applyBorder="1"/>
    <xf numFmtId="0" fontId="9" fillId="0" borderId="13" xfId="0" applyFont="1" applyFill="1" applyBorder="1"/>
    <xf numFmtId="0" fontId="4" fillId="0" borderId="0" xfId="0" applyFont="1"/>
    <xf numFmtId="2" fontId="30" fillId="0" borderId="0" xfId="0" applyNumberFormat="1" applyFont="1" applyBorder="1" applyAlignment="1" applyProtection="1">
      <alignment horizontal="justify"/>
      <protection locked="0"/>
    </xf>
    <xf numFmtId="0" fontId="16" fillId="0" borderId="5" xfId="0" applyFont="1" applyBorder="1" applyAlignment="1">
      <alignment horizontal="center"/>
    </xf>
    <xf numFmtId="2" fontId="16" fillId="0" borderId="2" xfId="0" applyNumberFormat="1" applyFont="1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165" fontId="16" fillId="0" borderId="3" xfId="0" applyNumberFormat="1" applyFont="1" applyBorder="1" applyAlignment="1">
      <alignment horizontal="right"/>
    </xf>
    <xf numFmtId="2" fontId="16" fillId="0" borderId="3" xfId="0" applyNumberFormat="1" applyFont="1" applyBorder="1" applyAlignment="1">
      <alignment horizontal="right"/>
    </xf>
    <xf numFmtId="2" fontId="16" fillId="0" borderId="22" xfId="0" applyNumberFormat="1" applyFont="1" applyBorder="1" applyAlignment="1">
      <alignment horizontal="right"/>
    </xf>
    <xf numFmtId="2" fontId="16" fillId="0" borderId="0" xfId="0" applyNumberFormat="1" applyFont="1" applyAlignment="1">
      <alignment horizontal="right"/>
    </xf>
    <xf numFmtId="2" fontId="16" fillId="0" borderId="20" xfId="0" applyNumberFormat="1" applyFont="1" applyBorder="1" applyAlignment="1">
      <alignment horizontal="center"/>
    </xf>
    <xf numFmtId="165" fontId="16" fillId="0" borderId="20" xfId="0" applyNumberFormat="1" applyFont="1" applyBorder="1" applyAlignment="1">
      <alignment horizontal="right"/>
    </xf>
    <xf numFmtId="2" fontId="16" fillId="0" borderId="20" xfId="0" applyNumberFormat="1" applyFont="1" applyBorder="1" applyAlignment="1">
      <alignment horizontal="right"/>
    </xf>
    <xf numFmtId="2" fontId="4" fillId="0" borderId="4" xfId="0" applyNumberFormat="1" applyFont="1" applyFill="1" applyBorder="1" applyAlignment="1">
      <alignment horizontal="left"/>
    </xf>
    <xf numFmtId="2" fontId="4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right"/>
      <protection locked="0"/>
    </xf>
    <xf numFmtId="2" fontId="4" fillId="0" borderId="1" xfId="0" applyNumberFormat="1" applyFont="1" applyBorder="1" applyAlignment="1" applyProtection="1">
      <alignment horizontal="right"/>
      <protection locked="0"/>
    </xf>
    <xf numFmtId="2" fontId="16" fillId="0" borderId="4" xfId="0" applyNumberFormat="1" applyFont="1" applyFill="1" applyBorder="1" applyAlignment="1">
      <alignment horizontal="left"/>
    </xf>
    <xf numFmtId="2" fontId="16" fillId="0" borderId="1" xfId="0" applyNumberFormat="1" applyFont="1" applyBorder="1" applyAlignment="1" applyProtection="1">
      <alignment horizontal="center"/>
      <protection locked="0"/>
    </xf>
    <xf numFmtId="165" fontId="16" fillId="0" borderId="1" xfId="0" applyNumberFormat="1" applyFont="1" applyBorder="1" applyAlignment="1" applyProtection="1">
      <alignment horizontal="right"/>
      <protection locked="0"/>
    </xf>
    <xf numFmtId="2" fontId="16" fillId="0" borderId="1" xfId="0" applyNumberFormat="1" applyFont="1" applyBorder="1" applyAlignment="1" applyProtection="1">
      <alignment horizontal="right"/>
      <protection locked="0"/>
    </xf>
    <xf numFmtId="2" fontId="16" fillId="0" borderId="22" xfId="0" applyNumberFormat="1" applyFont="1" applyBorder="1" applyAlignment="1">
      <alignment horizontal="right" shrinkToFit="1"/>
    </xf>
    <xf numFmtId="0" fontId="16" fillId="0" borderId="0" xfId="0" applyFont="1"/>
    <xf numFmtId="2" fontId="16" fillId="0" borderId="30" xfId="0" applyNumberFormat="1" applyFont="1" applyBorder="1" applyAlignment="1" applyProtection="1">
      <alignment horizontal="right" shrinkToFit="1"/>
      <protection locked="0"/>
    </xf>
    <xf numFmtId="2" fontId="4" fillId="0" borderId="30" xfId="0" applyNumberFormat="1" applyFont="1" applyBorder="1" applyAlignment="1" applyProtection="1">
      <alignment horizontal="right" shrinkToFit="1"/>
      <protection locked="0"/>
    </xf>
    <xf numFmtId="2" fontId="4" fillId="0" borderId="4" xfId="0" applyNumberFormat="1" applyFont="1" applyBorder="1" applyAlignment="1" applyProtection="1">
      <alignment horizontal="left"/>
      <protection locked="0"/>
    </xf>
    <xf numFmtId="2" fontId="16" fillId="0" borderId="4" xfId="0" applyNumberFormat="1" applyFont="1" applyBorder="1" applyAlignment="1" applyProtection="1">
      <alignment horizontal="left"/>
      <protection locked="0"/>
    </xf>
    <xf numFmtId="2" fontId="16" fillId="0" borderId="29" xfId="0" applyNumberFormat="1" applyFont="1" applyBorder="1" applyAlignment="1">
      <alignment horizontal="center"/>
    </xf>
    <xf numFmtId="2" fontId="16" fillId="0" borderId="21" xfId="0" applyNumberFormat="1" applyFont="1" applyFill="1" applyBorder="1" applyAlignment="1">
      <alignment horizontal="center"/>
    </xf>
    <xf numFmtId="2" fontId="16" fillId="0" borderId="21" xfId="0" applyNumberFormat="1" applyFont="1" applyFill="1" applyBorder="1" applyAlignment="1">
      <alignment horizontal="right"/>
    </xf>
    <xf numFmtId="2" fontId="16" fillId="0" borderId="23" xfId="0" applyNumberFormat="1" applyFont="1" applyFill="1" applyBorder="1" applyAlignment="1">
      <alignment horizontal="right" shrinkToFit="1"/>
    </xf>
    <xf numFmtId="0" fontId="4" fillId="0" borderId="0" xfId="0" applyFont="1" applyFill="1"/>
    <xf numFmtId="0" fontId="16" fillId="0" borderId="9" xfId="0" applyFont="1" applyFill="1" applyBorder="1" applyAlignment="1">
      <alignment horizontal="right"/>
    </xf>
    <xf numFmtId="2" fontId="30" fillId="0" borderId="0" xfId="0" applyNumberFormat="1" applyFont="1" applyFill="1" applyBorder="1" applyAlignment="1" applyProtection="1">
      <alignment horizontal="justify"/>
      <protection locked="0"/>
    </xf>
    <xf numFmtId="0" fontId="16" fillId="0" borderId="5" xfId="0" applyFont="1" applyFill="1" applyBorder="1" applyAlignment="1">
      <alignment horizontal="center"/>
    </xf>
    <xf numFmtId="0" fontId="16" fillId="0" borderId="14" xfId="0" applyFont="1" applyBorder="1"/>
    <xf numFmtId="2" fontId="16" fillId="0" borderId="3" xfId="0" applyNumberFormat="1" applyFont="1" applyFill="1" applyBorder="1" applyAlignment="1">
      <alignment horizontal="center"/>
    </xf>
    <xf numFmtId="165" fontId="16" fillId="0" borderId="3" xfId="0" applyNumberFormat="1" applyFont="1" applyFill="1" applyBorder="1" applyAlignment="1">
      <alignment horizontal="right"/>
    </xf>
    <xf numFmtId="2" fontId="16" fillId="0" borderId="3" xfId="0" applyNumberFormat="1" applyFont="1" applyFill="1" applyBorder="1" applyAlignment="1">
      <alignment horizontal="right"/>
    </xf>
    <xf numFmtId="2" fontId="16" fillId="0" borderId="22" xfId="0" applyNumberFormat="1" applyFont="1" applyFill="1" applyBorder="1" applyAlignment="1">
      <alignment horizontal="right"/>
    </xf>
    <xf numFmtId="2" fontId="16" fillId="0" borderId="0" xfId="0" applyNumberFormat="1" applyFont="1" applyFill="1" applyAlignment="1">
      <alignment horizontal="right"/>
    </xf>
    <xf numFmtId="0" fontId="16" fillId="0" borderId="11" xfId="0" applyFont="1" applyBorder="1"/>
    <xf numFmtId="2" fontId="4" fillId="0" borderId="20" xfId="0" applyNumberFormat="1" applyFont="1" applyFill="1" applyBorder="1" applyAlignment="1">
      <alignment horizontal="center"/>
    </xf>
    <xf numFmtId="165" fontId="4" fillId="0" borderId="20" xfId="0" applyNumberFormat="1" applyFont="1" applyFill="1" applyBorder="1" applyAlignment="1">
      <alignment horizontal="right"/>
    </xf>
    <xf numFmtId="2" fontId="4" fillId="0" borderId="20" xfId="0" applyNumberFormat="1" applyFont="1" applyFill="1" applyBorder="1" applyAlignment="1">
      <alignment horizontal="right"/>
    </xf>
    <xf numFmtId="2" fontId="4" fillId="0" borderId="22" xfId="0" applyNumberFormat="1" applyFont="1" applyFill="1" applyBorder="1" applyAlignment="1">
      <alignment horizontal="right"/>
    </xf>
    <xf numFmtId="2" fontId="4" fillId="0" borderId="0" xfId="0" applyNumberFormat="1" applyFont="1" applyFill="1" applyAlignment="1">
      <alignment horizontal="right"/>
    </xf>
    <xf numFmtId="0" fontId="4" fillId="0" borderId="11" xfId="0" applyFont="1" applyBorder="1"/>
    <xf numFmtId="2" fontId="4" fillId="0" borderId="1" xfId="0" applyNumberFormat="1" applyFont="1" applyFill="1" applyBorder="1" applyAlignment="1" applyProtection="1">
      <alignment horizontal="right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65" fontId="4" fillId="0" borderId="1" xfId="0" applyNumberFormat="1" applyFont="1" applyFill="1" applyBorder="1" applyAlignment="1" applyProtection="1">
      <alignment horizontal="right"/>
      <protection locked="0"/>
    </xf>
    <xf numFmtId="166" fontId="4" fillId="0" borderId="1" xfId="0" applyNumberFormat="1" applyFont="1" applyFill="1" applyBorder="1" applyAlignment="1" applyProtection="1">
      <alignment horizontal="right"/>
      <protection locked="0"/>
    </xf>
    <xf numFmtId="2" fontId="16" fillId="0" borderId="1" xfId="0" applyNumberFormat="1" applyFont="1" applyFill="1" applyBorder="1" applyAlignment="1" applyProtection="1">
      <alignment horizontal="center"/>
      <protection locked="0"/>
    </xf>
    <xf numFmtId="165" fontId="16" fillId="0" borderId="1" xfId="0" applyNumberFormat="1" applyFont="1" applyFill="1" applyBorder="1" applyAlignment="1" applyProtection="1">
      <alignment horizontal="right"/>
      <protection locked="0"/>
    </xf>
    <xf numFmtId="2" fontId="16" fillId="0" borderId="1" xfId="0" applyNumberFormat="1" applyFont="1" applyFill="1" applyBorder="1" applyAlignment="1" applyProtection="1">
      <alignment horizontal="right"/>
      <protection locked="0"/>
    </xf>
    <xf numFmtId="2" fontId="16" fillId="0" borderId="20" xfId="0" applyNumberFormat="1" applyFont="1" applyFill="1" applyBorder="1" applyAlignment="1">
      <alignment horizontal="right"/>
    </xf>
    <xf numFmtId="2" fontId="16" fillId="0" borderId="34" xfId="0" applyNumberFormat="1" applyFont="1" applyFill="1" applyBorder="1" applyAlignment="1">
      <alignment horizontal="right"/>
    </xf>
    <xf numFmtId="0" fontId="16" fillId="0" borderId="0" xfId="0" applyFont="1" applyFill="1"/>
    <xf numFmtId="2" fontId="4" fillId="0" borderId="30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Border="1" applyAlignment="1" applyProtection="1">
      <alignment horizontal="right"/>
      <protection locked="0"/>
    </xf>
    <xf numFmtId="2" fontId="16" fillId="0" borderId="31" xfId="0" applyNumberFormat="1" applyFont="1" applyFill="1" applyBorder="1" applyAlignment="1" applyProtection="1">
      <alignment horizontal="left"/>
      <protection locked="0"/>
    </xf>
    <xf numFmtId="2" fontId="16" fillId="0" borderId="6" xfId="0" applyNumberFormat="1" applyFont="1" applyFill="1" applyBorder="1" applyAlignment="1" applyProtection="1">
      <alignment horizontal="center"/>
      <protection locked="0"/>
    </xf>
    <xf numFmtId="2" fontId="16" fillId="0" borderId="6" xfId="0" applyNumberFormat="1" applyFont="1" applyFill="1" applyBorder="1" applyAlignment="1" applyProtection="1">
      <alignment horizontal="right"/>
      <protection locked="0"/>
    </xf>
    <xf numFmtId="2" fontId="16" fillId="0" borderId="30" xfId="0" applyNumberFormat="1" applyFont="1" applyFill="1" applyBorder="1" applyAlignment="1" applyProtection="1">
      <alignment horizontal="right"/>
      <protection locked="0"/>
    </xf>
    <xf numFmtId="2" fontId="16" fillId="0" borderId="43" xfId="0" applyNumberFormat="1" applyFont="1" applyFill="1" applyBorder="1" applyAlignment="1">
      <alignment horizontal="center"/>
    </xf>
    <xf numFmtId="2" fontId="16" fillId="0" borderId="27" xfId="0" applyNumberFormat="1" applyFont="1" applyFill="1" applyBorder="1" applyAlignment="1">
      <alignment horizontal="center"/>
    </xf>
    <xf numFmtId="2" fontId="16" fillId="0" borderId="27" xfId="0" applyNumberFormat="1" applyFont="1" applyFill="1" applyBorder="1" applyAlignment="1">
      <alignment horizontal="right"/>
    </xf>
    <xf numFmtId="2" fontId="16" fillId="0" borderId="15" xfId="0" applyNumberFormat="1" applyFont="1" applyFill="1" applyBorder="1" applyAlignment="1">
      <alignment horizontal="right"/>
    </xf>
    <xf numFmtId="2" fontId="16" fillId="0" borderId="23" xfId="0" applyNumberFormat="1" applyFont="1" applyFill="1" applyBorder="1" applyAlignment="1">
      <alignment horizontal="right"/>
    </xf>
    <xf numFmtId="2" fontId="4" fillId="0" borderId="30" xfId="0" applyNumberFormat="1" applyFont="1" applyBorder="1" applyAlignment="1">
      <alignment horizontal="right"/>
    </xf>
    <xf numFmtId="2" fontId="16" fillId="0" borderId="30" xfId="0" applyNumberFormat="1" applyFont="1" applyBorder="1" applyAlignment="1" applyProtection="1">
      <alignment horizontal="right"/>
      <protection locked="0"/>
    </xf>
    <xf numFmtId="2" fontId="4" fillId="0" borderId="30" xfId="0" applyNumberFormat="1" applyFont="1" applyBorder="1" applyAlignment="1" applyProtection="1">
      <alignment horizontal="right"/>
      <protection locked="0"/>
    </xf>
    <xf numFmtId="2" fontId="16" fillId="0" borderId="29" xfId="0" applyNumberFormat="1" applyFont="1" applyFill="1" applyBorder="1" applyAlignment="1">
      <alignment horizontal="center"/>
    </xf>
    <xf numFmtId="2" fontId="4" fillId="0" borderId="21" xfId="0" applyNumberFormat="1" applyFont="1" applyFill="1" applyBorder="1" applyAlignment="1" applyProtection="1">
      <alignment horizontal="center"/>
      <protection locked="0"/>
    </xf>
    <xf numFmtId="165" fontId="4" fillId="0" borderId="21" xfId="0" applyNumberFormat="1" applyFont="1" applyFill="1" applyBorder="1" applyAlignment="1" applyProtection="1">
      <alignment horizontal="right"/>
      <protection locked="0"/>
    </xf>
    <xf numFmtId="2" fontId="4" fillId="0" borderId="23" xfId="0" applyNumberFormat="1" applyFont="1" applyFill="1" applyBorder="1" applyAlignment="1" applyProtection="1">
      <alignment horizontal="right"/>
      <protection locked="0"/>
    </xf>
    <xf numFmtId="2" fontId="16" fillId="0" borderId="4" xfId="0" applyNumberFormat="1" applyFont="1" applyFill="1" applyBorder="1" applyAlignment="1" applyProtection="1">
      <alignment horizontal="left"/>
      <protection locked="0"/>
    </xf>
    <xf numFmtId="2" fontId="16" fillId="0" borderId="25" xfId="0" applyNumberFormat="1" applyFont="1" applyFill="1" applyBorder="1" applyAlignment="1" applyProtection="1">
      <alignment horizontal="center"/>
      <protection locked="0"/>
    </xf>
    <xf numFmtId="165" fontId="16" fillId="0" borderId="25" xfId="0" applyNumberFormat="1" applyFont="1" applyFill="1" applyBorder="1" applyAlignment="1" applyProtection="1">
      <alignment horizontal="right"/>
      <protection locked="0"/>
    </xf>
    <xf numFmtId="2" fontId="16" fillId="0" borderId="25" xfId="0" applyNumberFormat="1" applyFont="1" applyFill="1" applyBorder="1" applyAlignment="1" applyProtection="1">
      <alignment horizontal="right"/>
      <protection locked="0"/>
    </xf>
    <xf numFmtId="2" fontId="16" fillId="0" borderId="8" xfId="0" applyNumberFormat="1" applyFont="1" applyFill="1" applyBorder="1" applyAlignment="1" applyProtection="1">
      <alignment horizontal="right"/>
      <protection locked="0"/>
    </xf>
    <xf numFmtId="2" fontId="16" fillId="0" borderId="14" xfId="0" applyNumberFormat="1" applyFont="1" applyFill="1" applyBorder="1" applyAlignment="1">
      <alignment horizontal="center"/>
    </xf>
    <xf numFmtId="2" fontId="16" fillId="0" borderId="14" xfId="0" applyNumberFormat="1" applyFont="1" applyFill="1" applyBorder="1" applyAlignment="1">
      <alignment horizontal="right"/>
    </xf>
    <xf numFmtId="2" fontId="16" fillId="0" borderId="20" xfId="0" applyNumberFormat="1" applyFont="1" applyFill="1" applyBorder="1" applyAlignment="1">
      <alignment horizontal="center"/>
    </xf>
    <xf numFmtId="165" fontId="16" fillId="0" borderId="20" xfId="0" applyNumberFormat="1" applyFont="1" applyFill="1" applyBorder="1" applyAlignment="1">
      <alignment horizontal="right"/>
    </xf>
    <xf numFmtId="0" fontId="4" fillId="0" borderId="12" xfId="0" applyFont="1" applyBorder="1"/>
    <xf numFmtId="2" fontId="4" fillId="0" borderId="6" xfId="0" applyNumberFormat="1" applyFont="1" applyFill="1" applyBorder="1" applyAlignment="1" applyProtection="1">
      <alignment horizontal="center"/>
      <protection locked="0"/>
    </xf>
    <xf numFmtId="165" fontId="4" fillId="0" borderId="6" xfId="0" applyNumberFormat="1" applyFont="1" applyFill="1" applyBorder="1" applyAlignment="1" applyProtection="1">
      <alignment horizontal="right"/>
      <protection locked="0"/>
    </xf>
    <xf numFmtId="2" fontId="4" fillId="0" borderId="32" xfId="0" applyNumberFormat="1" applyFont="1" applyFill="1" applyBorder="1" applyAlignment="1" applyProtection="1">
      <alignment horizontal="right"/>
      <protection locked="0"/>
    </xf>
    <xf numFmtId="2" fontId="16" fillId="0" borderId="44" xfId="0" applyNumberFormat="1" applyFont="1" applyFill="1" applyBorder="1" applyAlignment="1" applyProtection="1">
      <alignment horizontal="left"/>
      <protection locked="0"/>
    </xf>
    <xf numFmtId="2" fontId="16" fillId="0" borderId="27" xfId="0" applyNumberFormat="1" applyFont="1" applyFill="1" applyBorder="1" applyAlignment="1" applyProtection="1">
      <alignment horizontal="center"/>
      <protection locked="0"/>
    </xf>
    <xf numFmtId="2" fontId="16" fillId="0" borderId="27" xfId="0" applyNumberFormat="1" applyFont="1" applyFill="1" applyBorder="1" applyAlignment="1" applyProtection="1">
      <alignment horizontal="right"/>
      <protection locked="0"/>
    </xf>
    <xf numFmtId="2" fontId="16" fillId="0" borderId="15" xfId="0" applyNumberFormat="1" applyFont="1" applyFill="1" applyBorder="1" applyAlignment="1" applyProtection="1">
      <alignment horizontal="right"/>
      <protection locked="0"/>
    </xf>
    <xf numFmtId="0" fontId="16" fillId="0" borderId="9" xfId="0" applyFont="1" applyBorder="1" applyAlignment="1">
      <alignment horizontal="right"/>
    </xf>
    <xf numFmtId="2" fontId="4" fillId="0" borderId="22" xfId="0" applyNumberFormat="1" applyFont="1" applyBorder="1" applyAlignment="1" applyProtection="1">
      <alignment horizontal="right"/>
      <protection locked="0"/>
    </xf>
    <xf numFmtId="2" fontId="4" fillId="0" borderId="34" xfId="0" applyNumberFormat="1" applyFont="1" applyBorder="1" applyAlignment="1" applyProtection="1">
      <alignment horizontal="right"/>
      <protection locked="0"/>
    </xf>
    <xf numFmtId="0" fontId="16" fillId="0" borderId="1" xfId="0" applyFont="1" applyBorder="1" applyAlignment="1"/>
    <xf numFmtId="2" fontId="16" fillId="0" borderId="6" xfId="0" applyNumberFormat="1" applyFont="1" applyBorder="1" applyAlignment="1" applyProtection="1">
      <alignment horizontal="center"/>
      <protection locked="0"/>
    </xf>
    <xf numFmtId="165" fontId="16" fillId="0" borderId="6" xfId="0" applyNumberFormat="1" applyFont="1" applyBorder="1" applyAlignment="1" applyProtection="1">
      <alignment horizontal="right"/>
      <protection locked="0"/>
    </xf>
    <xf numFmtId="2" fontId="16" fillId="0" borderId="6" xfId="0" applyNumberFormat="1" applyFont="1" applyBorder="1" applyAlignment="1" applyProtection="1">
      <alignment horizontal="right"/>
      <protection locked="0"/>
    </xf>
    <xf numFmtId="2" fontId="16" fillId="0" borderId="32" xfId="0" applyNumberFormat="1" applyFont="1" applyBorder="1" applyAlignment="1" applyProtection="1">
      <alignment horizontal="right"/>
      <protection locked="0"/>
    </xf>
    <xf numFmtId="2" fontId="16" fillId="0" borderId="21" xfId="0" applyNumberFormat="1" applyFont="1" applyBorder="1" applyAlignment="1" applyProtection="1">
      <alignment horizontal="right"/>
      <protection locked="0"/>
    </xf>
    <xf numFmtId="2" fontId="16" fillId="0" borderId="23" xfId="0" applyNumberFormat="1" applyFont="1" applyBorder="1" applyAlignment="1" applyProtection="1">
      <alignment horizontal="right"/>
      <protection locked="0"/>
    </xf>
    <xf numFmtId="0" fontId="3" fillId="0" borderId="9" xfId="0" applyFont="1" applyBorder="1" applyAlignment="1">
      <alignment horizontal="right"/>
    </xf>
    <xf numFmtId="2" fontId="32" fillId="0" borderId="0" xfId="0" applyNumberFormat="1" applyFont="1" applyBorder="1" applyAlignment="1" applyProtection="1">
      <alignment horizontal="justify"/>
      <protection locked="0"/>
    </xf>
    <xf numFmtId="0" fontId="3" fillId="0" borderId="5" xfId="0" applyFont="1" applyBorder="1" applyAlignment="1">
      <alignment horizontal="center"/>
    </xf>
    <xf numFmtId="0" fontId="2" fillId="0" borderId="14" xfId="0" applyFont="1" applyBorder="1"/>
    <xf numFmtId="2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5" fillId="0" borderId="30" xfId="0" applyNumberFormat="1" applyFont="1" applyBorder="1" applyAlignment="1" applyProtection="1">
      <alignment horizontal="right"/>
      <protection locked="0"/>
    </xf>
    <xf numFmtId="0" fontId="2" fillId="0" borderId="11" xfId="0" applyFont="1" applyBorder="1"/>
    <xf numFmtId="2" fontId="3" fillId="0" borderId="20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right"/>
    </xf>
    <xf numFmtId="2" fontId="3" fillId="0" borderId="20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9" fillId="0" borderId="11" xfId="0" applyFont="1" applyBorder="1"/>
    <xf numFmtId="2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 applyProtection="1">
      <alignment horizontal="right"/>
      <protection locked="0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 applyProtection="1">
      <alignment horizontal="center"/>
      <protection locked="0"/>
    </xf>
    <xf numFmtId="165" fontId="5" fillId="0" borderId="1" xfId="0" applyNumberFormat="1" applyFont="1" applyBorder="1" applyAlignment="1" applyProtection="1">
      <alignment horizontal="right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30" xfId="0" applyNumberFormat="1" applyFont="1" applyFill="1" applyBorder="1" applyAlignment="1" applyProtection="1">
      <alignment horizontal="right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2" fontId="3" fillId="0" borderId="30" xfId="0" applyNumberFormat="1" applyFont="1" applyBorder="1" applyAlignment="1" applyProtection="1">
      <alignment horizontal="right"/>
      <protection locked="0"/>
    </xf>
    <xf numFmtId="2" fontId="5" fillId="0" borderId="32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Alignment="1" applyProtection="1">
      <alignment horizontal="left"/>
      <protection locked="0"/>
    </xf>
    <xf numFmtId="2" fontId="3" fillId="0" borderId="29" xfId="0" applyNumberFormat="1" applyFont="1" applyBorder="1" applyAlignment="1">
      <alignment horizontal="center"/>
    </xf>
    <xf numFmtId="2" fontId="5" fillId="5" borderId="21" xfId="0" applyNumberFormat="1" applyFont="1" applyFill="1" applyBorder="1" applyAlignment="1">
      <alignment horizontal="center"/>
    </xf>
    <xf numFmtId="2" fontId="5" fillId="5" borderId="21" xfId="0" applyNumberFormat="1" applyFont="1" applyFill="1" applyBorder="1" applyAlignment="1">
      <alignment horizontal="right"/>
    </xf>
    <xf numFmtId="2" fontId="3" fillId="0" borderId="45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left"/>
    </xf>
    <xf numFmtId="2" fontId="5" fillId="5" borderId="25" xfId="0" applyNumberFormat="1" applyFont="1" applyFill="1" applyBorder="1" applyAlignment="1">
      <alignment horizontal="center"/>
    </xf>
    <xf numFmtId="2" fontId="5" fillId="5" borderId="25" xfId="0" applyNumberFormat="1" applyFont="1" applyFill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0" fontId="3" fillId="0" borderId="4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4" xfId="0" applyFont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/>
    <xf numFmtId="2" fontId="3" fillId="0" borderId="30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2" borderId="0" xfId="0" applyFont="1" applyFill="1"/>
    <xf numFmtId="0" fontId="3" fillId="0" borderId="4" xfId="0" applyFont="1" applyFill="1" applyBorder="1"/>
    <xf numFmtId="0" fontId="3" fillId="0" borderId="46" xfId="0" applyFont="1" applyFill="1" applyBorder="1" applyAlignment="1"/>
    <xf numFmtId="0" fontId="9" fillId="0" borderId="47" xfId="0" applyFont="1" applyFill="1" applyBorder="1" applyAlignment="1"/>
    <xf numFmtId="0" fontId="3" fillId="0" borderId="9" xfId="0" applyFont="1" applyFill="1" applyBorder="1" applyAlignment="1"/>
    <xf numFmtId="0" fontId="3" fillId="0" borderId="0" xfId="0" applyFont="1" applyFill="1" applyBorder="1" applyAlignment="1"/>
    <xf numFmtId="0" fontId="3" fillId="0" borderId="48" xfId="0" applyFont="1" applyFill="1" applyBorder="1" applyAlignment="1">
      <alignment horizontal="left" vertical="center"/>
    </xf>
    <xf numFmtId="0" fontId="9" fillId="0" borderId="47" xfId="0" applyFont="1" applyFill="1" applyBorder="1" applyAlignment="1">
      <alignment horizontal="left" vertical="center"/>
    </xf>
    <xf numFmtId="0" fontId="3" fillId="0" borderId="41" xfId="0" applyFont="1" applyFill="1" applyBorder="1" applyAlignment="1"/>
    <xf numFmtId="0" fontId="3" fillId="0" borderId="10" xfId="0" applyFont="1" applyFill="1" applyBorder="1" applyAlignment="1"/>
    <xf numFmtId="0" fontId="9" fillId="0" borderId="19" xfId="0" applyFont="1" applyFill="1" applyBorder="1" applyAlignment="1"/>
    <xf numFmtId="1" fontId="34" fillId="3" borderId="0" xfId="0" applyNumberFormat="1" applyFont="1" applyFill="1" applyAlignment="1">
      <alignment horizontal="center"/>
    </xf>
    <xf numFmtId="0" fontId="35" fillId="3" borderId="0" xfId="0" applyFont="1" applyFill="1"/>
    <xf numFmtId="2" fontId="35" fillId="3" borderId="0" xfId="0" applyNumberFormat="1" applyFont="1" applyFill="1"/>
    <xf numFmtId="2" fontId="34" fillId="3" borderId="0" xfId="0" applyNumberFormat="1" applyFont="1" applyFill="1" applyAlignment="1">
      <alignment horizontal="center"/>
    </xf>
    <xf numFmtId="2" fontId="34" fillId="3" borderId="0" xfId="0" applyNumberFormat="1" applyFont="1" applyFill="1" applyAlignment="1">
      <alignment horizontal="right"/>
    </xf>
    <xf numFmtId="2" fontId="34" fillId="3" borderId="0" xfId="0" applyNumberFormat="1" applyFont="1" applyFill="1"/>
    <xf numFmtId="0" fontId="34" fillId="3" borderId="0" xfId="0" applyFont="1" applyFill="1"/>
    <xf numFmtId="2" fontId="35" fillId="3" borderId="0" xfId="0" applyNumberFormat="1" applyFont="1" applyFill="1" applyAlignment="1">
      <alignment horizontal="right"/>
    </xf>
    <xf numFmtId="0" fontId="34" fillId="3" borderId="0" xfId="0" applyFont="1" applyFill="1" applyAlignment="1">
      <alignment horizontal="center"/>
    </xf>
    <xf numFmtId="2" fontId="35" fillId="3" borderId="0" xfId="0" applyNumberFormat="1" applyFont="1" applyFill="1" applyBorder="1"/>
    <xf numFmtId="2" fontId="34" fillId="3" borderId="0" xfId="0" applyNumberFormat="1" applyFont="1" applyFill="1" applyBorder="1"/>
    <xf numFmtId="2" fontId="34" fillId="3" borderId="49" xfId="0" applyNumberFormat="1" applyFont="1" applyFill="1" applyBorder="1" applyAlignment="1" applyProtection="1">
      <alignment horizontal="right"/>
      <protection locked="0"/>
    </xf>
    <xf numFmtId="2" fontId="34" fillId="3" borderId="6" xfId="0" applyNumberFormat="1" applyFont="1" applyFill="1" applyBorder="1" applyAlignment="1" applyProtection="1">
      <alignment horizontal="right"/>
      <protection locked="0"/>
    </xf>
    <xf numFmtId="0" fontId="34" fillId="3" borderId="0" xfId="0" applyFont="1" applyFill="1" applyBorder="1"/>
    <xf numFmtId="0" fontId="36" fillId="3" borderId="0" xfId="0" applyFont="1" applyFill="1" applyBorder="1"/>
    <xf numFmtId="0" fontId="36" fillId="3" borderId="0" xfId="0" applyFont="1" applyFill="1"/>
    <xf numFmtId="0" fontId="33" fillId="3" borderId="0" xfId="0" applyFont="1" applyFill="1" applyBorder="1" applyAlignment="1">
      <alignment horizontal="center"/>
    </xf>
    <xf numFmtId="2" fontId="33" fillId="3" borderId="0" xfId="0" applyNumberFormat="1" applyFont="1" applyFill="1" applyBorder="1" applyAlignment="1">
      <alignment horizontal="right"/>
    </xf>
    <xf numFmtId="2" fontId="33" fillId="3" borderId="0" xfId="0" applyNumberFormat="1" applyFont="1" applyFill="1" applyAlignment="1">
      <alignment horizontal="right"/>
    </xf>
    <xf numFmtId="2" fontId="36" fillId="3" borderId="0" xfId="0" applyNumberFormat="1" applyFont="1" applyFill="1" applyBorder="1" applyAlignment="1">
      <alignment horizontal="right"/>
    </xf>
    <xf numFmtId="2" fontId="36" fillId="3" borderId="0" xfId="0" applyNumberFormat="1" applyFont="1" applyFill="1" applyAlignment="1">
      <alignment horizontal="right"/>
    </xf>
    <xf numFmtId="0" fontId="33" fillId="3" borderId="0" xfId="0" applyFont="1" applyFill="1"/>
    <xf numFmtId="2" fontId="33" fillId="3" borderId="0" xfId="0" applyNumberFormat="1" applyFont="1" applyFill="1" applyBorder="1" applyAlignment="1" applyProtection="1">
      <alignment horizontal="right"/>
      <protection locked="0"/>
    </xf>
    <xf numFmtId="2" fontId="33" fillId="3" borderId="0" xfId="0" applyNumberFormat="1" applyFont="1" applyFill="1" applyBorder="1"/>
    <xf numFmtId="2" fontId="36" fillId="3" borderId="0" xfId="0" applyNumberFormat="1" applyFont="1" applyFill="1" applyBorder="1"/>
    <xf numFmtId="0" fontId="33" fillId="3" borderId="0" xfId="0" applyFont="1" applyFill="1" applyBorder="1" applyAlignment="1">
      <alignment horizontal="left"/>
    </xf>
    <xf numFmtId="2" fontId="33" fillId="3" borderId="0" xfId="0" applyNumberFormat="1" applyFont="1" applyFill="1"/>
    <xf numFmtId="0" fontId="33" fillId="3" borderId="0" xfId="0" applyFont="1" applyFill="1" applyAlignment="1">
      <alignment horizontal="center"/>
    </xf>
    <xf numFmtId="0" fontId="37" fillId="3" borderId="0" xfId="0" applyFont="1" applyFill="1"/>
    <xf numFmtId="2" fontId="26" fillId="3" borderId="0" xfId="0" applyNumberFormat="1" applyFont="1" applyFill="1" applyBorder="1" applyAlignment="1"/>
    <xf numFmtId="2" fontId="26" fillId="3" borderId="0" xfId="0" applyNumberFormat="1" applyFont="1" applyFill="1" applyBorder="1" applyAlignment="1">
      <alignment horizontal="right"/>
    </xf>
    <xf numFmtId="0" fontId="26" fillId="3" borderId="0" xfId="0" applyFont="1" applyFill="1" applyBorder="1" applyAlignment="1"/>
    <xf numFmtId="2" fontId="18" fillId="3" borderId="22" xfId="0" applyNumberFormat="1" applyFont="1" applyFill="1" applyBorder="1" applyAlignment="1">
      <alignment horizontal="center" wrapText="1"/>
    </xf>
    <xf numFmtId="0" fontId="26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wrapText="1"/>
    </xf>
    <xf numFmtId="2" fontId="18" fillId="3" borderId="30" xfId="0" applyNumberFormat="1" applyFont="1" applyFill="1" applyBorder="1" applyAlignment="1">
      <alignment horizontal="center" wrapText="1"/>
    </xf>
    <xf numFmtId="0" fontId="26" fillId="3" borderId="0" xfId="0" applyFont="1" applyFill="1" applyBorder="1" applyAlignment="1">
      <alignment horizontal="center" vertical="center" shrinkToFit="1"/>
    </xf>
    <xf numFmtId="2" fontId="18" fillId="3" borderId="0" xfId="0" applyNumberFormat="1" applyFont="1" applyFill="1" applyBorder="1" applyAlignment="1"/>
    <xf numFmtId="0" fontId="18" fillId="3" borderId="0" xfId="0" applyFont="1" applyFill="1" applyBorder="1" applyAlignment="1"/>
    <xf numFmtId="0" fontId="26" fillId="3" borderId="1" xfId="0" applyFont="1" applyFill="1" applyBorder="1" applyAlignment="1">
      <alignment horizontal="center" wrapText="1"/>
    </xf>
    <xf numFmtId="0" fontId="26" fillId="3" borderId="1" xfId="0" applyFont="1" applyFill="1" applyBorder="1" applyAlignment="1">
      <alignment wrapText="1"/>
    </xf>
    <xf numFmtId="1" fontId="18" fillId="3" borderId="0" xfId="3" applyNumberFormat="1" applyFont="1" applyFill="1" applyBorder="1" applyAlignment="1">
      <alignment horizontal="center" vertical="center" wrapText="1"/>
    </xf>
    <xf numFmtId="2" fontId="18" fillId="3" borderId="0" xfId="3" applyNumberFormat="1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2" fontId="18" fillId="3" borderId="0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/>
    </xf>
    <xf numFmtId="2" fontId="18" fillId="3" borderId="0" xfId="3" applyNumberFormat="1" applyFont="1" applyFill="1" applyBorder="1" applyAlignment="1">
      <alignment horizontal="right" vertical="center" wrapText="1"/>
    </xf>
    <xf numFmtId="1" fontId="18" fillId="3" borderId="0" xfId="3" applyNumberFormat="1" applyFont="1" applyFill="1" applyBorder="1" applyAlignment="1">
      <alignment horizontal="right"/>
    </xf>
    <xf numFmtId="2" fontId="18" fillId="3" borderId="0" xfId="3" applyNumberFormat="1" applyFont="1" applyFill="1" applyBorder="1" applyAlignment="1">
      <alignment horizontal="right"/>
    </xf>
    <xf numFmtId="165" fontId="18" fillId="3" borderId="0" xfId="3" applyNumberFormat="1" applyFont="1" applyFill="1" applyBorder="1" applyAlignment="1">
      <alignment horizontal="right"/>
    </xf>
    <xf numFmtId="0" fontId="26" fillId="3" borderId="1" xfId="0" applyFont="1" applyFill="1" applyBorder="1" applyAlignment="1">
      <alignment vertical="top" wrapText="1"/>
    </xf>
    <xf numFmtId="1" fontId="18" fillId="3" borderId="0" xfId="3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right"/>
    </xf>
    <xf numFmtId="2" fontId="18" fillId="3" borderId="0" xfId="0" applyNumberFormat="1" applyFont="1" applyFill="1" applyBorder="1" applyAlignment="1">
      <alignment horizontal="right"/>
    </xf>
    <xf numFmtId="0" fontId="26" fillId="3" borderId="1" xfId="0" applyFont="1" applyFill="1" applyBorder="1" applyAlignment="1">
      <alignment horizontal="right" wrapText="1"/>
    </xf>
    <xf numFmtId="0" fontId="18" fillId="3" borderId="1" xfId="0" applyFont="1" applyFill="1" applyBorder="1" applyAlignment="1">
      <alignment horizontal="right" vertical="top" wrapText="1"/>
    </xf>
    <xf numFmtId="0" fontId="26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2" fontId="3" fillId="3" borderId="1" xfId="0" applyNumberFormat="1" applyFont="1" applyFill="1" applyBorder="1" applyAlignment="1" applyProtection="1">
      <alignment horizontal="right"/>
      <protection locked="0"/>
    </xf>
    <xf numFmtId="0" fontId="18" fillId="3" borderId="31" xfId="0" applyFont="1" applyFill="1" applyBorder="1" applyAlignment="1">
      <alignment horizontal="center" vertical="top" wrapText="1"/>
    </xf>
    <xf numFmtId="0" fontId="18" fillId="3" borderId="6" xfId="0" applyFont="1" applyFill="1" applyBorder="1" applyAlignment="1">
      <alignment vertical="top" wrapText="1"/>
    </xf>
    <xf numFmtId="2" fontId="26" fillId="3" borderId="32" xfId="0" applyNumberFormat="1" applyFont="1" applyFill="1" applyBorder="1" applyAlignment="1">
      <alignment horizontal="center"/>
    </xf>
    <xf numFmtId="2" fontId="26" fillId="3" borderId="1" xfId="0" applyNumberFormat="1" applyFont="1" applyFill="1" applyBorder="1" applyAlignment="1">
      <alignment horizontal="right"/>
    </xf>
    <xf numFmtId="2" fontId="26" fillId="3" borderId="1" xfId="0" applyNumberFormat="1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2" fontId="26" fillId="3" borderId="1" xfId="0" applyNumberFormat="1" applyFont="1" applyFill="1" applyBorder="1" applyAlignment="1">
      <alignment horizontal="right" vertical="top"/>
    </xf>
    <xf numFmtId="0" fontId="18" fillId="3" borderId="1" xfId="0" applyFont="1" applyFill="1" applyBorder="1" applyAlignment="1">
      <alignment horizontal="center" vertical="top" wrapText="1"/>
    </xf>
    <xf numFmtId="2" fontId="26" fillId="3" borderId="1" xfId="0" applyNumberFormat="1" applyFont="1" applyFill="1" applyBorder="1" applyAlignment="1">
      <alignment horizontal="right" wrapText="1"/>
    </xf>
    <xf numFmtId="2" fontId="18" fillId="3" borderId="1" xfId="0" applyNumberFormat="1" applyFont="1" applyFill="1" applyBorder="1" applyAlignment="1">
      <alignment horizontal="right" wrapText="1"/>
    </xf>
    <xf numFmtId="2" fontId="38" fillId="3" borderId="1" xfId="0" applyNumberFormat="1" applyFont="1" applyFill="1" applyBorder="1" applyAlignment="1">
      <alignment horizontal="right" wrapText="1"/>
    </xf>
    <xf numFmtId="0" fontId="26" fillId="3" borderId="6" xfId="0" applyFont="1" applyFill="1" applyBorder="1" applyAlignment="1">
      <alignment wrapText="1"/>
    </xf>
    <xf numFmtId="0" fontId="26" fillId="3" borderId="1" xfId="0" applyFont="1" applyFill="1" applyBorder="1" applyAlignment="1">
      <alignment horizontal="center" vertical="center" wrapText="1"/>
    </xf>
    <xf numFmtId="2" fontId="26" fillId="3" borderId="6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Fill="1"/>
    <xf numFmtId="1" fontId="40" fillId="0" borderId="3" xfId="0" applyNumberFormat="1" applyFont="1" applyFill="1" applyBorder="1" applyAlignment="1">
      <alignment horizontal="center"/>
    </xf>
    <xf numFmtId="1" fontId="40" fillId="0" borderId="3" xfId="0" applyNumberFormat="1" applyFont="1" applyBorder="1" applyAlignment="1">
      <alignment horizontal="center"/>
    </xf>
    <xf numFmtId="2" fontId="39" fillId="0" borderId="19" xfId="0" applyNumberFormat="1" applyFont="1" applyFill="1" applyBorder="1"/>
    <xf numFmtId="2" fontId="39" fillId="0" borderId="0" xfId="0" applyNumberFormat="1" applyFont="1" applyFill="1" applyBorder="1"/>
    <xf numFmtId="2" fontId="39" fillId="0" borderId="25" xfId="0" applyNumberFormat="1" applyFont="1" applyFill="1" applyBorder="1"/>
    <xf numFmtId="1" fontId="39" fillId="0" borderId="3" xfId="0" applyNumberFormat="1" applyFont="1" applyFill="1" applyBorder="1" applyAlignment="1">
      <alignment horizontal="center"/>
    </xf>
    <xf numFmtId="2" fontId="39" fillId="0" borderId="1" xfId="0" applyNumberFormat="1" applyFont="1" applyFill="1" applyBorder="1"/>
    <xf numFmtId="2" fontId="40" fillId="0" borderId="1" xfId="0" applyNumberFormat="1" applyFont="1" applyFill="1" applyBorder="1" applyAlignment="1">
      <alignment horizontal="right"/>
    </xf>
    <xf numFmtId="0" fontId="40" fillId="0" borderId="1" xfId="0" applyFont="1" applyFill="1" applyBorder="1" applyAlignment="1">
      <alignment horizontal="center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0" borderId="21" xfId="0" applyFont="1" applyFill="1" applyBorder="1" applyAlignment="1" applyProtection="1">
      <alignment horizontal="center" vertical="center"/>
      <protection locked="0"/>
    </xf>
    <xf numFmtId="2" fontId="39" fillId="0" borderId="6" xfId="0" applyNumberFormat="1" applyFont="1" applyFill="1" applyBorder="1"/>
    <xf numFmtId="0" fontId="39" fillId="0" borderId="10" xfId="0" applyFont="1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2" fontId="16" fillId="3" borderId="0" xfId="0" applyNumberFormat="1" applyFont="1" applyFill="1" applyAlignment="1">
      <alignment horizontal="right"/>
    </xf>
    <xf numFmtId="0" fontId="16" fillId="3" borderId="0" xfId="0" applyFont="1" applyFill="1"/>
    <xf numFmtId="2" fontId="4" fillId="3" borderId="0" xfId="0" applyNumberFormat="1" applyFont="1" applyFill="1" applyAlignment="1">
      <alignment horizontal="right"/>
    </xf>
    <xf numFmtId="2" fontId="16" fillId="3" borderId="6" xfId="0" applyNumberFormat="1" applyFont="1" applyFill="1" applyBorder="1" applyAlignment="1" applyProtection="1">
      <alignment horizontal="right"/>
      <protection locked="0"/>
    </xf>
    <xf numFmtId="0" fontId="5" fillId="3" borderId="0" xfId="0" applyFont="1" applyFill="1"/>
    <xf numFmtId="2" fontId="3" fillId="3" borderId="0" xfId="0" applyNumberFormat="1" applyFont="1" applyFill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3" fillId="0" borderId="5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9" fillId="3" borderId="0" xfId="0" applyFont="1" applyFill="1"/>
    <xf numFmtId="0" fontId="34" fillId="0" borderId="0" xfId="0" applyFont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right"/>
    </xf>
    <xf numFmtId="2" fontId="16" fillId="3" borderId="3" xfId="0" applyNumberFormat="1" applyFont="1" applyFill="1" applyBorder="1" applyAlignment="1">
      <alignment horizontal="right" shrinkToFit="1"/>
    </xf>
    <xf numFmtId="2" fontId="16" fillId="3" borderId="1" xfId="0" applyNumberFormat="1" applyFont="1" applyFill="1" applyBorder="1" applyAlignment="1" applyProtection="1">
      <alignment horizontal="right" shrinkToFit="1"/>
      <protection locked="0"/>
    </xf>
    <xf numFmtId="2" fontId="4" fillId="3" borderId="1" xfId="0" applyNumberFormat="1" applyFont="1" applyFill="1" applyBorder="1" applyAlignment="1" applyProtection="1">
      <alignment horizontal="right" shrinkToFit="1"/>
      <protection locked="0"/>
    </xf>
    <xf numFmtId="2" fontId="16" fillId="3" borderId="21" xfId="0" applyNumberFormat="1" applyFont="1" applyFill="1" applyBorder="1" applyAlignment="1">
      <alignment horizontal="right" shrinkToFit="1"/>
    </xf>
    <xf numFmtId="2" fontId="4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 applyProtection="1">
      <alignment horizontal="right"/>
      <protection locked="0"/>
    </xf>
    <xf numFmtId="2" fontId="16" fillId="3" borderId="1" xfId="0" applyNumberFormat="1" applyFont="1" applyFill="1" applyBorder="1" applyAlignment="1" applyProtection="1">
      <alignment horizontal="right"/>
      <protection locked="0"/>
    </xf>
    <xf numFmtId="2" fontId="16" fillId="3" borderId="20" xfId="0" applyNumberFormat="1" applyFont="1" applyFill="1" applyBorder="1" applyAlignment="1">
      <alignment horizontal="right"/>
    </xf>
    <xf numFmtId="2" fontId="16" fillId="3" borderId="50" xfId="0" applyNumberFormat="1" applyFont="1" applyFill="1" applyBorder="1" applyAlignment="1">
      <alignment horizontal="right"/>
    </xf>
    <xf numFmtId="2" fontId="4" fillId="3" borderId="51" xfId="0" applyNumberFormat="1" applyFont="1" applyFill="1" applyBorder="1" applyAlignment="1" applyProtection="1">
      <alignment horizontal="right"/>
      <protection locked="0"/>
    </xf>
    <xf numFmtId="2" fontId="16" fillId="3" borderId="30" xfId="0" applyNumberFormat="1" applyFont="1" applyFill="1" applyBorder="1" applyAlignment="1" applyProtection="1">
      <alignment horizontal="right"/>
      <protection locked="0"/>
    </xf>
    <xf numFmtId="2" fontId="4" fillId="3" borderId="21" xfId="0" applyNumberFormat="1" applyFont="1" applyFill="1" applyBorder="1" applyAlignment="1" applyProtection="1">
      <alignment horizontal="right"/>
      <protection locked="0"/>
    </xf>
    <xf numFmtId="2" fontId="16" fillId="3" borderId="25" xfId="0" applyNumberFormat="1" applyFont="1" applyFill="1" applyBorder="1" applyAlignment="1" applyProtection="1">
      <alignment horizontal="right"/>
      <protection locked="0"/>
    </xf>
    <xf numFmtId="2" fontId="16" fillId="3" borderId="14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 applyProtection="1">
      <alignment horizontal="right"/>
      <protection locked="0"/>
    </xf>
    <xf numFmtId="2" fontId="16" fillId="3" borderId="27" xfId="0" applyNumberFormat="1" applyFont="1" applyFill="1" applyBorder="1" applyAlignment="1" applyProtection="1">
      <alignment horizontal="right"/>
      <protection locked="0"/>
    </xf>
    <xf numFmtId="2" fontId="16" fillId="3" borderId="15" xfId="0" applyNumberFormat="1" applyFont="1" applyFill="1" applyBorder="1" applyAlignment="1">
      <alignment horizontal="right"/>
    </xf>
    <xf numFmtId="2" fontId="16" fillId="3" borderId="21" xfId="0" applyNumberFormat="1" applyFont="1" applyFill="1" applyBorder="1" applyAlignment="1" applyProtection="1">
      <alignment horizontal="right"/>
      <protection locked="0"/>
    </xf>
    <xf numFmtId="0" fontId="3" fillId="3" borderId="5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right"/>
    </xf>
    <xf numFmtId="2" fontId="5" fillId="3" borderId="20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2" fontId="3" fillId="3" borderId="21" xfId="0" applyNumberFormat="1" applyFont="1" applyFill="1" applyBorder="1" applyAlignment="1">
      <alignment horizontal="right"/>
    </xf>
    <xf numFmtId="2" fontId="3" fillId="3" borderId="25" xfId="0" applyNumberFormat="1" applyFont="1" applyFill="1" applyBorder="1" applyAlignment="1">
      <alignment horizontal="right"/>
    </xf>
    <xf numFmtId="0" fontId="9" fillId="3" borderId="19" xfId="0" applyFont="1" applyFill="1" applyBorder="1" applyAlignment="1">
      <alignment horizontal="center" vertical="center"/>
    </xf>
    <xf numFmtId="0" fontId="3" fillId="3" borderId="0" xfId="0" applyFont="1" applyFill="1" applyBorder="1" applyAlignment="1"/>
    <xf numFmtId="0" fontId="9" fillId="3" borderId="27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2" fontId="3" fillId="3" borderId="1" xfId="0" applyNumberFormat="1" applyFont="1" applyFill="1" applyBorder="1"/>
    <xf numFmtId="0" fontId="9" fillId="3" borderId="47" xfId="0" applyFont="1" applyFill="1" applyBorder="1" applyAlignment="1">
      <alignment horizontal="left" vertical="center"/>
    </xf>
    <xf numFmtId="0" fontId="9" fillId="3" borderId="0" xfId="0" applyFont="1" applyFill="1" applyBorder="1" applyAlignment="1"/>
    <xf numFmtId="0" fontId="9" fillId="3" borderId="19" xfId="0" applyFont="1" applyFill="1" applyBorder="1" applyAlignment="1"/>
    <xf numFmtId="0" fontId="9" fillId="3" borderId="25" xfId="0" applyFont="1" applyFill="1" applyBorder="1" applyAlignment="1"/>
    <xf numFmtId="1" fontId="5" fillId="3" borderId="1" xfId="3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shrinkToFit="1"/>
    </xf>
    <xf numFmtId="0" fontId="23" fillId="0" borderId="6" xfId="0" applyFont="1" applyFill="1" applyBorder="1" applyAlignment="1">
      <alignment shrinkToFit="1"/>
    </xf>
    <xf numFmtId="0" fontId="9" fillId="0" borderId="6" xfId="0" applyFont="1" applyFill="1" applyBorder="1" applyAlignment="1">
      <alignment shrinkToFit="1"/>
    </xf>
    <xf numFmtId="1" fontId="9" fillId="0" borderId="6" xfId="0" applyNumberFormat="1" applyFont="1" applyFill="1" applyBorder="1" applyAlignment="1">
      <alignment horizontal="right"/>
    </xf>
    <xf numFmtId="2" fontId="9" fillId="0" borderId="26" xfId="0" applyNumberFormat="1" applyFont="1" applyFill="1" applyBorder="1" applyAlignment="1">
      <alignment horizontal="right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3" fillId="3" borderId="4" xfId="0" applyNumberFormat="1" applyFont="1" applyFill="1" applyBorder="1" applyAlignment="1">
      <alignment horizontal="left"/>
    </xf>
    <xf numFmtId="2" fontId="3" fillId="3" borderId="4" xfId="0" applyNumberFormat="1" applyFont="1" applyFill="1" applyBorder="1" applyAlignment="1" applyProtection="1">
      <alignment horizontal="left"/>
      <protection locked="0"/>
    </xf>
    <xf numFmtId="0" fontId="3" fillId="3" borderId="0" xfId="0" applyFont="1" applyFill="1" applyAlignment="1"/>
    <xf numFmtId="0" fontId="3" fillId="3" borderId="1" xfId="0" applyFont="1" applyFill="1" applyBorder="1" applyAlignment="1"/>
    <xf numFmtId="2" fontId="5" fillId="3" borderId="0" xfId="0" applyNumberFormat="1" applyFont="1" applyFill="1"/>
    <xf numFmtId="2" fontId="5" fillId="3" borderId="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/>
    <xf numFmtId="165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right"/>
    </xf>
    <xf numFmtId="2" fontId="2" fillId="0" borderId="0" xfId="0" applyNumberFormat="1" applyFont="1" applyFill="1" applyBorder="1" applyAlignment="1"/>
    <xf numFmtId="0" fontId="42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9" fillId="0" borderId="18" xfId="0" applyFont="1" applyFill="1" applyBorder="1" applyAlignment="1">
      <alignment horizontal="right"/>
    </xf>
    <xf numFmtId="2" fontId="2" fillId="0" borderId="25" xfId="0" applyNumberFormat="1" applyFont="1" applyFill="1" applyBorder="1" applyAlignment="1">
      <alignment horizontal="right"/>
    </xf>
    <xf numFmtId="2" fontId="2" fillId="0" borderId="25" xfId="0" applyNumberFormat="1" applyFont="1" applyFill="1" applyBorder="1" applyAlignment="1"/>
    <xf numFmtId="0" fontId="2" fillId="0" borderId="25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9" fillId="0" borderId="5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2" fontId="2" fillId="0" borderId="1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 shrinkToFit="1"/>
    </xf>
    <xf numFmtId="0" fontId="2" fillId="0" borderId="27" xfId="0" applyFont="1" applyFill="1" applyBorder="1" applyAlignment="1">
      <alignment horizontal="center"/>
    </xf>
    <xf numFmtId="2" fontId="2" fillId="0" borderId="27" xfId="0" applyNumberFormat="1" applyFont="1" applyFill="1" applyBorder="1" applyAlignment="1">
      <alignment horizontal="center"/>
    </xf>
    <xf numFmtId="1" fontId="2" fillId="0" borderId="11" xfId="0" applyNumberFormat="1" applyFont="1" applyFill="1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9" fillId="0" borderId="0" xfId="0" applyNumberFormat="1" applyFont="1" applyFill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/>
    <xf numFmtId="2" fontId="2" fillId="0" borderId="3" xfId="0" applyNumberFormat="1" applyFont="1" applyFill="1" applyBorder="1" applyAlignment="1">
      <alignment horizontal="right"/>
    </xf>
    <xf numFmtId="2" fontId="2" fillId="0" borderId="3" xfId="0" applyNumberFormat="1" applyFont="1" applyFill="1" applyBorder="1" applyAlignment="1"/>
    <xf numFmtId="2" fontId="9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right"/>
    </xf>
    <xf numFmtId="165" fontId="9" fillId="0" borderId="3" xfId="0" applyNumberFormat="1" applyFont="1" applyFill="1" applyBorder="1" applyAlignment="1">
      <alignment horizontal="center"/>
    </xf>
    <xf numFmtId="2" fontId="9" fillId="0" borderId="22" xfId="0" applyNumberFormat="1" applyFont="1" applyFill="1" applyBorder="1" applyAlignment="1">
      <alignment horizontal="right"/>
    </xf>
    <xf numFmtId="2" fontId="2" fillId="0" borderId="0" xfId="0" applyNumberFormat="1" applyFont="1" applyFill="1"/>
    <xf numFmtId="0" fontId="9" fillId="0" borderId="4" xfId="0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2" fontId="2" fillId="0" borderId="20" xfId="0" applyNumberFormat="1" applyFont="1" applyFill="1" applyBorder="1" applyAlignment="1"/>
    <xf numFmtId="165" fontId="2" fillId="0" borderId="1" xfId="0" applyNumberFormat="1" applyFont="1" applyFill="1" applyBorder="1" applyAlignment="1"/>
    <xf numFmtId="166" fontId="9" fillId="0" borderId="1" xfId="0" applyNumberFormat="1" applyFont="1" applyFill="1" applyBorder="1" applyAlignment="1">
      <alignment horizontal="right"/>
    </xf>
    <xf numFmtId="2" fontId="2" fillId="0" borderId="26" xfId="0" applyNumberFormat="1" applyFont="1" applyFill="1" applyBorder="1" applyAlignment="1">
      <alignment horizontal="right"/>
    </xf>
    <xf numFmtId="0" fontId="9" fillId="0" borderId="29" xfId="0" applyFont="1" applyFill="1" applyBorder="1" applyAlignment="1">
      <alignment horizontal="center"/>
    </xf>
    <xf numFmtId="0" fontId="9" fillId="0" borderId="21" xfId="0" applyFont="1" applyFill="1" applyBorder="1" applyAlignment="1"/>
    <xf numFmtId="0" fontId="9" fillId="0" borderId="26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right"/>
    </xf>
    <xf numFmtId="165" fontId="9" fillId="0" borderId="21" xfId="0" applyNumberFormat="1" applyFont="1" applyFill="1" applyBorder="1" applyAlignment="1">
      <alignment horizontal="center"/>
    </xf>
    <xf numFmtId="2" fontId="9" fillId="0" borderId="21" xfId="0" applyNumberFormat="1" applyFont="1" applyFill="1" applyBorder="1" applyAlignment="1">
      <alignment horizontal="center"/>
    </xf>
    <xf numFmtId="2" fontId="9" fillId="0" borderId="23" xfId="0" applyNumberFormat="1" applyFont="1" applyFill="1" applyBorder="1" applyAlignment="1">
      <alignment horizontal="right"/>
    </xf>
    <xf numFmtId="166" fontId="9" fillId="0" borderId="3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/>
    <xf numFmtId="0" fontId="9" fillId="0" borderId="3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right"/>
    </xf>
    <xf numFmtId="165" fontId="9" fillId="0" borderId="20" xfId="0" applyNumberFormat="1" applyFont="1" applyFill="1" applyBorder="1" applyAlignment="1">
      <alignment horizontal="center"/>
    </xf>
    <xf numFmtId="2" fontId="9" fillId="0" borderId="20" xfId="0" applyNumberFormat="1" applyFont="1" applyFill="1" applyBorder="1" applyAlignment="1">
      <alignment horizontal="center"/>
    </xf>
    <xf numFmtId="2" fontId="9" fillId="0" borderId="34" xfId="0" applyNumberFormat="1" applyFont="1" applyFill="1" applyBorder="1" applyAlignment="1">
      <alignment horizontal="right"/>
    </xf>
    <xf numFmtId="0" fontId="9" fillId="0" borderId="31" xfId="0" applyFont="1" applyFill="1" applyBorder="1" applyAlignment="1">
      <alignment horizontal="center"/>
    </xf>
    <xf numFmtId="0" fontId="9" fillId="0" borderId="27" xfId="0" applyFont="1" applyFill="1" applyBorder="1"/>
    <xf numFmtId="0" fontId="9" fillId="0" borderId="14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4" xfId="0" applyFont="1" applyFill="1" applyBorder="1" applyAlignment="1"/>
    <xf numFmtId="0" fontId="2" fillId="0" borderId="14" xfId="0" applyFont="1" applyFill="1" applyBorder="1"/>
    <xf numFmtId="2" fontId="2" fillId="0" borderId="14" xfId="0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right"/>
    </xf>
    <xf numFmtId="2" fontId="2" fillId="0" borderId="53" xfId="0" applyNumberFormat="1" applyFont="1" applyFill="1" applyBorder="1" applyAlignment="1">
      <alignment horizontal="right"/>
    </xf>
    <xf numFmtId="2" fontId="2" fillId="0" borderId="14" xfId="0" applyNumberFormat="1" applyFont="1" applyFill="1" applyBorder="1" applyAlignment="1">
      <alignment horizontal="center"/>
    </xf>
    <xf numFmtId="165" fontId="2" fillId="0" borderId="14" xfId="0" applyNumberFormat="1" applyFont="1" applyFill="1" applyBorder="1" applyAlignment="1">
      <alignment horizontal="center"/>
    </xf>
    <xf numFmtId="0" fontId="9" fillId="0" borderId="0" xfId="0" applyFont="1" applyFill="1" applyAlignment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2" fontId="9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right" shrinkToFit="1"/>
    </xf>
    <xf numFmtId="166" fontId="9" fillId="0" borderId="20" xfId="0" applyNumberFormat="1" applyFont="1" applyFill="1" applyBorder="1" applyAlignment="1">
      <alignment horizontal="right"/>
    </xf>
    <xf numFmtId="49" fontId="23" fillId="0" borderId="54" xfId="0" applyNumberFormat="1" applyFont="1" applyFill="1" applyBorder="1" applyAlignment="1">
      <alignment horizontal="center"/>
    </xf>
    <xf numFmtId="0" fontId="23" fillId="0" borderId="6" xfId="0" applyFont="1" applyFill="1" applyBorder="1"/>
    <xf numFmtId="2" fontId="23" fillId="0" borderId="6" xfId="0" applyNumberFormat="1" applyFont="1" applyFill="1" applyBorder="1" applyAlignment="1">
      <alignment shrinkToFit="1"/>
    </xf>
    <xf numFmtId="2" fontId="2" fillId="0" borderId="26" xfId="0" applyNumberFormat="1" applyFont="1" applyFill="1" applyBorder="1" applyAlignment="1">
      <alignment horizontal="right" shrinkToFit="1"/>
    </xf>
    <xf numFmtId="0" fontId="2" fillId="0" borderId="24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2" fontId="23" fillId="0" borderId="24" xfId="0" applyNumberFormat="1" applyFont="1" applyFill="1" applyBorder="1" applyAlignment="1">
      <alignment horizontal="center"/>
    </xf>
    <xf numFmtId="0" fontId="23" fillId="0" borderId="24" xfId="0" applyFont="1" applyFill="1" applyBorder="1" applyAlignment="1">
      <alignment horizontal="left"/>
    </xf>
    <xf numFmtId="2" fontId="2" fillId="0" borderId="24" xfId="0" applyNumberFormat="1" applyFont="1" applyFill="1" applyBorder="1" applyAlignment="1">
      <alignment horizontal="right" shrinkToFit="1"/>
    </xf>
    <xf numFmtId="1" fontId="18" fillId="3" borderId="0" xfId="3" applyNumberFormat="1" applyFont="1" applyFill="1" applyBorder="1" applyAlignment="1">
      <alignment horizontal="left"/>
    </xf>
    <xf numFmtId="1" fontId="5" fillId="3" borderId="0" xfId="3" applyNumberFormat="1" applyFont="1" applyFill="1" applyBorder="1" applyAlignment="1">
      <alignment horizontal="center" vertical="center" wrapText="1"/>
    </xf>
    <xf numFmtId="2" fontId="5" fillId="3" borderId="1" xfId="3" applyNumberFormat="1" applyFont="1" applyFill="1" applyBorder="1" applyAlignment="1">
      <alignment horizontal="center" vertical="center" wrapText="1"/>
    </xf>
    <xf numFmtId="2" fontId="5" fillId="3" borderId="0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3" borderId="1" xfId="3" applyNumberFormat="1" applyFont="1" applyFill="1" applyBorder="1" applyAlignment="1">
      <alignment horizontal="center" vertical="center"/>
    </xf>
    <xf numFmtId="2" fontId="5" fillId="3" borderId="0" xfId="3" applyNumberFormat="1" applyFont="1" applyFill="1" applyBorder="1" applyAlignment="1">
      <alignment horizontal="center" vertical="center"/>
    </xf>
    <xf numFmtId="2" fontId="18" fillId="3" borderId="0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5" fillId="3" borderId="1" xfId="3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2" fontId="5" fillId="3" borderId="1" xfId="3" applyNumberFormat="1" applyFont="1" applyFill="1" applyBorder="1" applyAlignment="1">
      <alignment horizontal="left" vertical="center"/>
    </xf>
    <xf numFmtId="1" fontId="5" fillId="3" borderId="11" xfId="3" applyNumberFormat="1" applyFont="1" applyFill="1" applyBorder="1" applyAlignment="1">
      <alignment horizontal="left" vertical="center"/>
    </xf>
    <xf numFmtId="1" fontId="5" fillId="3" borderId="0" xfId="3" applyNumberFormat="1" applyFont="1" applyFill="1" applyBorder="1" applyAlignment="1">
      <alignment horizontal="left" vertical="center"/>
    </xf>
    <xf numFmtId="1" fontId="18" fillId="3" borderId="0" xfId="3" applyNumberFormat="1" applyFont="1" applyFill="1" applyBorder="1" applyAlignment="1">
      <alignment horizontal="left" vertical="center"/>
    </xf>
    <xf numFmtId="2" fontId="5" fillId="3" borderId="51" xfId="3" applyNumberFormat="1" applyFont="1" applyFill="1" applyBorder="1" applyAlignment="1">
      <alignment horizontal="center" vertical="center"/>
    </xf>
    <xf numFmtId="2" fontId="5" fillId="3" borderId="6" xfId="3" applyNumberFormat="1" applyFont="1" applyFill="1" applyBorder="1" applyAlignment="1">
      <alignment horizontal="center" vertical="center" wrapText="1"/>
    </xf>
    <xf numFmtId="2" fontId="5" fillId="3" borderId="5" xfId="3" applyNumberFormat="1" applyFont="1" applyFill="1" applyBorder="1" applyAlignment="1">
      <alignment horizontal="center" vertical="center" wrapText="1"/>
    </xf>
    <xf numFmtId="2" fontId="5" fillId="3" borderId="12" xfId="3" applyNumberFormat="1" applyFont="1" applyFill="1" applyBorder="1" applyAlignment="1">
      <alignment horizontal="center" vertical="center" wrapText="1"/>
    </xf>
    <xf numFmtId="2" fontId="5" fillId="3" borderId="11" xfId="3" applyNumberFormat="1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left"/>
    </xf>
    <xf numFmtId="2" fontId="9" fillId="0" borderId="0" xfId="0" applyNumberFormat="1" applyFont="1"/>
    <xf numFmtId="0" fontId="18" fillId="6" borderId="0" xfId="0" applyFont="1" applyFill="1" applyBorder="1" applyAlignment="1">
      <alignment horizontal="center" vertical="center" wrapText="1"/>
    </xf>
    <xf numFmtId="2" fontId="18" fillId="6" borderId="0" xfId="0" applyNumberFormat="1" applyFont="1" applyFill="1" applyBorder="1" applyAlignment="1">
      <alignment horizontal="center" wrapText="1"/>
    </xf>
    <xf numFmtId="2" fontId="26" fillId="6" borderId="0" xfId="0" applyNumberFormat="1" applyFont="1" applyFill="1" applyBorder="1" applyAlignment="1">
      <alignment horizontal="center"/>
    </xf>
    <xf numFmtId="2" fontId="26" fillId="6" borderId="1" xfId="0" applyNumberFormat="1" applyFont="1" applyFill="1" applyBorder="1" applyAlignment="1">
      <alignment horizontal="right"/>
    </xf>
    <xf numFmtId="2" fontId="26" fillId="6" borderId="1" xfId="0" applyNumberFormat="1" applyFont="1" applyFill="1" applyBorder="1" applyAlignment="1">
      <alignment horizontal="center"/>
    </xf>
    <xf numFmtId="2" fontId="26" fillId="6" borderId="0" xfId="0" applyNumberFormat="1" applyFont="1" applyFill="1" applyBorder="1" applyAlignment="1"/>
    <xf numFmtId="2" fontId="26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>
      <alignment horizontal="right" vertical="center"/>
    </xf>
    <xf numFmtId="2" fontId="26" fillId="0" borderId="0" xfId="0" applyNumberFormat="1" applyFont="1" applyFill="1" applyBorder="1" applyAlignment="1">
      <alignment horizontal="right" vertical="center" shrinkToFit="1"/>
    </xf>
    <xf numFmtId="2" fontId="26" fillId="0" borderId="1" xfId="0" applyNumberFormat="1" applyFont="1" applyFill="1" applyBorder="1" applyAlignment="1">
      <alignment horizontal="right" vertical="center"/>
    </xf>
    <xf numFmtId="2" fontId="38" fillId="3" borderId="0" xfId="0" applyNumberFormat="1" applyFont="1" applyFill="1" applyBorder="1" applyAlignment="1">
      <alignment horizontal="right"/>
    </xf>
    <xf numFmtId="2" fontId="18" fillId="3" borderId="0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wrapText="1"/>
    </xf>
    <xf numFmtId="2" fontId="46" fillId="0" borderId="1" xfId="0" applyNumberFormat="1" applyFont="1" applyBorder="1" applyAlignment="1">
      <alignment horizontal="center" vertical="center"/>
    </xf>
    <xf numFmtId="0" fontId="5" fillId="3" borderId="25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right"/>
    </xf>
    <xf numFmtId="0" fontId="5" fillId="3" borderId="4" xfId="0" applyFont="1" applyFill="1" applyBorder="1" applyAlignment="1"/>
    <xf numFmtId="0" fontId="5" fillId="3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right"/>
    </xf>
    <xf numFmtId="2" fontId="5" fillId="3" borderId="4" xfId="0" applyNumberFormat="1" applyFont="1" applyFill="1" applyBorder="1" applyAlignment="1"/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>
      <alignment horizontal="center"/>
    </xf>
    <xf numFmtId="0" fontId="5" fillId="3" borderId="4" xfId="0" applyFont="1" applyFill="1" applyBorder="1"/>
    <xf numFmtId="0" fontId="5" fillId="3" borderId="1" xfId="0" applyFont="1" applyFill="1" applyBorder="1" applyAlignment="1"/>
    <xf numFmtId="0" fontId="5" fillId="3" borderId="0" xfId="0" applyFont="1" applyFill="1" applyBorder="1" applyAlignment="1"/>
    <xf numFmtId="2" fontId="5" fillId="3" borderId="0" xfId="0" applyNumberFormat="1" applyFont="1" applyFill="1" applyBorder="1" applyAlignment="1"/>
    <xf numFmtId="2" fontId="5" fillId="3" borderId="0" xfId="0" applyNumberFormat="1" applyFont="1" applyFill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 textRotation="90" wrapText="1"/>
    </xf>
    <xf numFmtId="2" fontId="5" fillId="3" borderId="0" xfId="0" applyNumberFormat="1" applyFont="1" applyFill="1" applyBorder="1" applyAlignment="1">
      <alignment shrinkToFit="1"/>
    </xf>
    <xf numFmtId="165" fontId="5" fillId="3" borderId="0" xfId="0" applyNumberFormat="1" applyFont="1" applyFill="1" applyBorder="1" applyAlignment="1"/>
    <xf numFmtId="165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shrinkToFit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1" applyFont="1" applyFill="1" applyBorder="1" applyAlignment="1" applyProtection="1">
      <alignment shrinkToFit="1"/>
    </xf>
    <xf numFmtId="0" fontId="5" fillId="3" borderId="0" xfId="1" applyFont="1" applyFill="1" applyBorder="1" applyAlignment="1" applyProtection="1"/>
    <xf numFmtId="0" fontId="5" fillId="3" borderId="0" xfId="1" applyFont="1" applyFill="1" applyBorder="1" applyAlignment="1" applyProtection="1">
      <alignment horizontal="left" shrinkToFit="1"/>
    </xf>
    <xf numFmtId="2" fontId="9" fillId="0" borderId="6" xfId="0" applyNumberFormat="1" applyFont="1" applyFill="1" applyBorder="1"/>
    <xf numFmtId="2" fontId="23" fillId="0" borderId="26" xfId="0" applyNumberFormat="1" applyFont="1" applyFill="1" applyBorder="1"/>
    <xf numFmtId="2" fontId="23" fillId="0" borderId="26" xfId="0" applyNumberFormat="1" applyFont="1" applyFill="1" applyBorder="1" applyAlignment="1">
      <alignment horizontal="right" shrinkToFit="1"/>
    </xf>
    <xf numFmtId="0" fontId="3" fillId="7" borderId="4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top" wrapText="1"/>
    </xf>
    <xf numFmtId="1" fontId="54" fillId="3" borderId="0" xfId="0" applyNumberFormat="1" applyFont="1" applyFill="1" applyBorder="1" applyAlignment="1">
      <alignment horizontal="center"/>
    </xf>
    <xf numFmtId="0" fontId="54" fillId="3" borderId="0" xfId="0" applyFont="1" applyFill="1"/>
    <xf numFmtId="2" fontId="55" fillId="3" borderId="4" xfId="0" applyNumberFormat="1" applyFont="1" applyFill="1" applyBorder="1" applyAlignment="1">
      <alignment horizontal="left"/>
    </xf>
    <xf numFmtId="2" fontId="55" fillId="3" borderId="1" xfId="0" applyNumberFormat="1" applyFont="1" applyFill="1" applyBorder="1" applyAlignment="1" applyProtection="1">
      <alignment horizontal="center"/>
      <protection locked="0"/>
    </xf>
    <xf numFmtId="2" fontId="55" fillId="3" borderId="1" xfId="0" applyNumberFormat="1" applyFont="1" applyFill="1" applyBorder="1" applyAlignment="1" applyProtection="1">
      <alignment horizontal="right"/>
      <protection locked="0"/>
    </xf>
    <xf numFmtId="0" fontId="55" fillId="3" borderId="0" xfId="0" applyFont="1" applyFill="1"/>
    <xf numFmtId="0" fontId="55" fillId="3" borderId="4" xfId="0" applyFont="1" applyFill="1" applyBorder="1"/>
    <xf numFmtId="165" fontId="5" fillId="3" borderId="25" xfId="0" applyNumberFormat="1" applyFont="1" applyFill="1" applyBorder="1" applyAlignment="1">
      <alignment horizontal="left"/>
    </xf>
    <xf numFmtId="165" fontId="5" fillId="3" borderId="4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 applyProtection="1">
      <alignment horizontal="right"/>
      <protection locked="0"/>
    </xf>
    <xf numFmtId="165" fontId="55" fillId="3" borderId="1" xfId="0" applyNumberFormat="1" applyFont="1" applyFill="1" applyBorder="1" applyAlignment="1" applyProtection="1">
      <alignment horizontal="right"/>
      <protection locked="0"/>
    </xf>
    <xf numFmtId="165" fontId="5" fillId="3" borderId="1" xfId="0" applyNumberFormat="1" applyFont="1" applyFill="1" applyBorder="1" applyAlignment="1"/>
    <xf numFmtId="165" fontId="5" fillId="3" borderId="0" xfId="0" applyNumberFormat="1" applyFont="1" applyFill="1"/>
    <xf numFmtId="1" fontId="3" fillId="3" borderId="0" xfId="0" applyNumberFormat="1" applyFont="1" applyFill="1" applyAlignment="1">
      <alignment horizontal="center"/>
    </xf>
    <xf numFmtId="2" fontId="56" fillId="3" borderId="0" xfId="0" applyNumberFormat="1" applyFont="1" applyFill="1" applyBorder="1" applyAlignment="1"/>
    <xf numFmtId="2" fontId="56" fillId="3" borderId="0" xfId="0" applyNumberFormat="1" applyFont="1" applyFill="1" applyAlignment="1"/>
    <xf numFmtId="2" fontId="54" fillId="3" borderId="0" xfId="0" applyNumberFormat="1" applyFont="1" applyFill="1" applyBorder="1"/>
    <xf numFmtId="2" fontId="54" fillId="3" borderId="0" xfId="0" applyNumberFormat="1" applyFont="1" applyFill="1"/>
    <xf numFmtId="1" fontId="54" fillId="3" borderId="0" xfId="0" applyNumberFormat="1" applyFont="1" applyFill="1" applyAlignment="1">
      <alignment horizontal="center"/>
    </xf>
    <xf numFmtId="2" fontId="54" fillId="3" borderId="0" xfId="0" applyNumberFormat="1" applyFont="1" applyFill="1" applyBorder="1" applyAlignment="1">
      <alignment horizontal="right"/>
    </xf>
    <xf numFmtId="2" fontId="54" fillId="3" borderId="0" xfId="0" applyNumberFormat="1" applyFont="1" applyFill="1" applyAlignment="1">
      <alignment horizontal="right"/>
    </xf>
    <xf numFmtId="2" fontId="56" fillId="3" borderId="0" xfId="0" applyNumberFormat="1" applyFont="1" applyFill="1" applyBorder="1"/>
    <xf numFmtId="2" fontId="56" fillId="3" borderId="0" xfId="0" applyNumberFormat="1" applyFont="1" applyFill="1"/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 applyProtection="1"/>
    <xf numFmtId="2" fontId="5" fillId="3" borderId="1" xfId="0" applyNumberFormat="1" applyFont="1" applyFill="1" applyBorder="1" applyAlignment="1">
      <alignment shrinkToFit="1"/>
    </xf>
    <xf numFmtId="2" fontId="5" fillId="0" borderId="1" xfId="1" applyNumberFormat="1" applyFont="1" applyFill="1" applyBorder="1" applyAlignment="1" applyProtection="1"/>
    <xf numFmtId="2" fontId="31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shrinkToFi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justify" vertical="top" wrapText="1"/>
    </xf>
    <xf numFmtId="2" fontId="20" fillId="0" borderId="1" xfId="0" applyNumberFormat="1" applyFont="1" applyBorder="1" applyAlignment="1">
      <alignment horizontal="right" vertical="top" wrapText="1"/>
    </xf>
    <xf numFmtId="165" fontId="20" fillId="0" borderId="1" xfId="0" applyNumberFormat="1" applyFont="1" applyBorder="1" applyAlignment="1">
      <alignment horizontal="center" vertical="top" wrapText="1"/>
    </xf>
    <xf numFmtId="2" fontId="3" fillId="8" borderId="1" xfId="1" applyNumberFormat="1" applyFont="1" applyFill="1" applyBorder="1" applyAlignment="1" applyProtection="1"/>
    <xf numFmtId="0" fontId="20" fillId="0" borderId="4" xfId="0" applyFont="1" applyBorder="1" applyAlignment="1">
      <alignment horizontal="justify" vertical="top" wrapText="1"/>
    </xf>
    <xf numFmtId="2" fontId="20" fillId="0" borderId="30" xfId="0" applyNumberFormat="1" applyFont="1" applyBorder="1" applyAlignment="1">
      <alignment horizontal="right" vertical="top" wrapText="1"/>
    </xf>
    <xf numFmtId="0" fontId="20" fillId="0" borderId="29" xfId="0" applyFont="1" applyBorder="1" applyAlignment="1">
      <alignment horizontal="justify" vertical="top" wrapText="1"/>
    </xf>
    <xf numFmtId="2" fontId="20" fillId="0" borderId="21" xfId="0" applyNumberFormat="1" applyFont="1" applyBorder="1" applyAlignment="1">
      <alignment horizontal="right" vertical="top" wrapText="1"/>
    </xf>
    <xf numFmtId="165" fontId="20" fillId="0" borderId="21" xfId="0" applyNumberFormat="1" applyFont="1" applyBorder="1" applyAlignment="1">
      <alignment horizontal="center" vertical="top" wrapText="1"/>
    </xf>
    <xf numFmtId="2" fontId="20" fillId="0" borderId="23" xfId="0" applyNumberFormat="1" applyFont="1" applyBorder="1" applyAlignment="1">
      <alignment horizontal="right" vertical="top" wrapText="1"/>
    </xf>
    <xf numFmtId="165" fontId="20" fillId="0" borderId="51" xfId="0" applyNumberFormat="1" applyFont="1" applyBorder="1" applyAlignment="1">
      <alignment horizontal="center" vertical="top" wrapText="1"/>
    </xf>
    <xf numFmtId="165" fontId="20" fillId="0" borderId="5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20" fillId="3" borderId="0" xfId="0" applyFont="1" applyFill="1" applyBorder="1" applyAlignment="1"/>
    <xf numFmtId="2" fontId="20" fillId="3" borderId="0" xfId="0" applyNumberFormat="1" applyFont="1" applyFill="1" applyBorder="1" applyAlignment="1"/>
    <xf numFmtId="0" fontId="20" fillId="0" borderId="0" xfId="0" applyFont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justify" vertical="top" wrapText="1"/>
    </xf>
    <xf numFmtId="2" fontId="20" fillId="0" borderId="20" xfId="0" applyNumberFormat="1" applyFont="1" applyBorder="1" applyAlignment="1">
      <alignment horizontal="right" vertical="top" wrapText="1"/>
    </xf>
    <xf numFmtId="165" fontId="20" fillId="0" borderId="20" xfId="0" applyNumberFormat="1" applyFont="1" applyBorder="1" applyAlignment="1">
      <alignment horizontal="center" vertical="top" wrapText="1"/>
    </xf>
    <xf numFmtId="165" fontId="20" fillId="0" borderId="56" xfId="0" applyNumberFormat="1" applyFont="1" applyBorder="1" applyAlignment="1">
      <alignment horizontal="center" vertical="top" wrapText="1"/>
    </xf>
    <xf numFmtId="2" fontId="20" fillId="0" borderId="34" xfId="0" applyNumberFormat="1" applyFont="1" applyBorder="1" applyAlignment="1">
      <alignment horizontal="right" vertical="top" wrapText="1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/>
    <xf numFmtId="0" fontId="20" fillId="0" borderId="1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right" vertical="top" shrinkToFit="1"/>
    </xf>
    <xf numFmtId="165" fontId="20" fillId="0" borderId="1" xfId="0" applyNumberFormat="1" applyFont="1" applyBorder="1" applyAlignment="1">
      <alignment horizontal="center" vertical="top" shrinkToFit="1"/>
    </xf>
    <xf numFmtId="165" fontId="5" fillId="3" borderId="0" xfId="0" applyNumberFormat="1" applyFont="1" applyFill="1" applyBorder="1" applyAlignment="1">
      <alignment shrinkToFit="1"/>
    </xf>
    <xf numFmtId="2" fontId="5" fillId="3" borderId="1" xfId="1" applyNumberFormat="1" applyFont="1" applyFill="1" applyBorder="1" applyAlignment="1" applyProtection="1">
      <alignment shrinkToFit="1"/>
    </xf>
    <xf numFmtId="2" fontId="5" fillId="0" borderId="1" xfId="1" applyNumberFormat="1" applyFont="1" applyFill="1" applyBorder="1" applyAlignment="1" applyProtection="1">
      <alignment shrinkToFit="1"/>
    </xf>
    <xf numFmtId="2" fontId="3" fillId="8" borderId="1" xfId="1" applyNumberFormat="1" applyFont="1" applyFill="1" applyBorder="1" applyAlignment="1" applyProtection="1">
      <alignment shrinkToFit="1"/>
    </xf>
    <xf numFmtId="0" fontId="5" fillId="0" borderId="0" xfId="0" applyFont="1" applyBorder="1" applyAlignment="1">
      <alignment horizontal="left" vertical="center" wrapText="1"/>
    </xf>
    <xf numFmtId="0" fontId="57" fillId="0" borderId="1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2" fontId="5" fillId="3" borderId="34" xfId="0" applyNumberFormat="1" applyFont="1" applyFill="1" applyBorder="1" applyAlignment="1"/>
    <xf numFmtId="0" fontId="20" fillId="0" borderId="4" xfId="0" applyFont="1" applyBorder="1" applyAlignment="1">
      <alignment horizontal="justify" vertical="top" shrinkToFit="1"/>
    </xf>
    <xf numFmtId="0" fontId="20" fillId="0" borderId="29" xfId="0" applyFont="1" applyBorder="1" applyAlignment="1">
      <alignment horizontal="justify" vertical="top" shrinkToFit="1"/>
    </xf>
    <xf numFmtId="2" fontId="20" fillId="0" borderId="21" xfId="0" applyNumberFormat="1" applyFont="1" applyBorder="1" applyAlignment="1">
      <alignment horizontal="right" vertical="top" shrinkToFit="1"/>
    </xf>
    <xf numFmtId="165" fontId="20" fillId="0" borderId="21" xfId="0" applyNumberFormat="1" applyFont="1" applyBorder="1" applyAlignment="1">
      <alignment horizontal="center" vertical="top" shrinkToFit="1"/>
    </xf>
    <xf numFmtId="0" fontId="5" fillId="9" borderId="1" xfId="0" applyFont="1" applyFill="1" applyBorder="1" applyAlignment="1">
      <alignment horizontal="center" vertical="top" wrapText="1"/>
    </xf>
    <xf numFmtId="2" fontId="5" fillId="9" borderId="0" xfId="0" applyNumberFormat="1" applyFont="1" applyFill="1" applyBorder="1"/>
    <xf numFmtId="2" fontId="5" fillId="9" borderId="0" xfId="0" applyNumberFormat="1" applyFont="1" applyFill="1"/>
    <xf numFmtId="0" fontId="5" fillId="9" borderId="0" xfId="0" applyFont="1" applyFill="1"/>
    <xf numFmtId="0" fontId="5" fillId="0" borderId="25" xfId="0" applyFont="1" applyBorder="1" applyAlignment="1">
      <alignment horizontal="left" vertical="center" wrapText="1"/>
    </xf>
    <xf numFmtId="2" fontId="5" fillId="3" borderId="30" xfId="0" applyNumberFormat="1" applyFont="1" applyFill="1" applyBorder="1" applyAlignment="1"/>
    <xf numFmtId="2" fontId="5" fillId="3" borderId="23" xfId="0" applyNumberFormat="1" applyFont="1" applyFill="1" applyBorder="1" applyAlignment="1"/>
    <xf numFmtId="0" fontId="5" fillId="0" borderId="0" xfId="0" applyFont="1" applyAlignment="1">
      <alignment horizontal="center"/>
    </xf>
    <xf numFmtId="0" fontId="20" fillId="0" borderId="4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5" fillId="3" borderId="36" xfId="0" applyNumberFormat="1" applyFont="1" applyFill="1" applyBorder="1" applyAlignment="1">
      <alignment horizontal="center" vertical="center"/>
    </xf>
    <xf numFmtId="0" fontId="5" fillId="0" borderId="76" xfId="0" applyFont="1" applyBorder="1" applyAlignment="1">
      <alignment vertical="top" wrapText="1"/>
    </xf>
    <xf numFmtId="0" fontId="5" fillId="0" borderId="77" xfId="0" applyFont="1" applyBorder="1" applyAlignment="1">
      <alignment horizontal="center" vertical="top" wrapText="1"/>
    </xf>
    <xf numFmtId="0" fontId="5" fillId="0" borderId="78" xfId="0" applyFont="1" applyBorder="1" applyAlignment="1">
      <alignment vertical="top" wrapText="1"/>
    </xf>
    <xf numFmtId="0" fontId="5" fillId="0" borderId="79" xfId="0" applyFont="1" applyBorder="1" applyAlignment="1">
      <alignment vertical="top" wrapText="1"/>
    </xf>
    <xf numFmtId="0" fontId="5" fillId="0" borderId="80" xfId="0" applyFont="1" applyBorder="1" applyAlignment="1">
      <alignment horizontal="center" vertical="top" wrapText="1"/>
    </xf>
    <xf numFmtId="0" fontId="5" fillId="10" borderId="76" xfId="0" applyFont="1" applyFill="1" applyBorder="1" applyAlignment="1">
      <alignment vertical="top" wrapText="1"/>
    </xf>
    <xf numFmtId="0" fontId="5" fillId="10" borderId="77" xfId="0" applyFont="1" applyFill="1" applyBorder="1" applyAlignment="1">
      <alignment horizontal="center" vertical="top" wrapText="1"/>
    </xf>
    <xf numFmtId="0" fontId="5" fillId="10" borderId="81" xfId="0" applyFont="1" applyFill="1" applyBorder="1" applyAlignment="1">
      <alignment vertical="top" wrapText="1"/>
    </xf>
    <xf numFmtId="0" fontId="5" fillId="10" borderId="82" xfId="0" applyFont="1" applyFill="1" applyBorder="1" applyAlignment="1">
      <alignment horizontal="center" vertical="top" wrapText="1"/>
    </xf>
    <xf numFmtId="0" fontId="5" fillId="10" borderId="78" xfId="0" applyFont="1" applyFill="1" applyBorder="1" applyAlignment="1">
      <alignment vertical="top" wrapText="1"/>
    </xf>
    <xf numFmtId="0" fontId="5" fillId="10" borderId="80" xfId="0" applyFont="1" applyFill="1" applyBorder="1" applyAlignment="1">
      <alignment horizontal="center" vertical="top" wrapText="1"/>
    </xf>
    <xf numFmtId="0" fontId="5" fillId="10" borderId="83" xfId="0" applyFont="1" applyFill="1" applyBorder="1" applyAlignment="1">
      <alignment vertical="top" wrapText="1"/>
    </xf>
    <xf numFmtId="0" fontId="5" fillId="7" borderId="76" xfId="0" applyFont="1" applyFill="1" applyBorder="1" applyAlignment="1">
      <alignment vertical="top" wrapText="1"/>
    </xf>
    <xf numFmtId="0" fontId="5" fillId="7" borderId="77" xfId="0" applyFont="1" applyFill="1" applyBorder="1" applyAlignment="1">
      <alignment horizontal="center" vertical="top" wrapText="1"/>
    </xf>
    <xf numFmtId="0" fontId="5" fillId="11" borderId="76" xfId="0" applyFont="1" applyFill="1" applyBorder="1" applyAlignment="1">
      <alignment vertical="top" wrapText="1"/>
    </xf>
    <xf numFmtId="0" fontId="5" fillId="11" borderId="77" xfId="0" applyFont="1" applyFill="1" applyBorder="1" applyAlignment="1">
      <alignment horizontal="center" vertical="top" wrapText="1"/>
    </xf>
    <xf numFmtId="0" fontId="5" fillId="11" borderId="84" xfId="0" applyFont="1" applyFill="1" applyBorder="1" applyAlignment="1">
      <alignment vertical="top" wrapText="1"/>
    </xf>
    <xf numFmtId="0" fontId="5" fillId="11" borderId="78" xfId="0" applyFont="1" applyFill="1" applyBorder="1" applyAlignment="1">
      <alignment vertical="top" wrapText="1"/>
    </xf>
    <xf numFmtId="0" fontId="5" fillId="11" borderId="80" xfId="0" applyFont="1" applyFill="1" applyBorder="1" applyAlignment="1">
      <alignment horizontal="center" vertical="top" wrapText="1"/>
    </xf>
    <xf numFmtId="0" fontId="3" fillId="12" borderId="85" xfId="0" applyFont="1" applyFill="1" applyBorder="1" applyAlignment="1">
      <alignment horizontal="center" vertical="top" wrapText="1"/>
    </xf>
    <xf numFmtId="0" fontId="5" fillId="12" borderId="80" xfId="0" applyFont="1" applyFill="1" applyBorder="1" applyAlignment="1">
      <alignment horizontal="center" vertical="top" wrapText="1"/>
    </xf>
    <xf numFmtId="0" fontId="5" fillId="12" borderId="78" xfId="0" applyFont="1" applyFill="1" applyBorder="1" applyAlignment="1">
      <alignment vertical="top" wrapText="1"/>
    </xf>
    <xf numFmtId="0" fontId="5" fillId="12" borderId="83" xfId="0" applyFont="1" applyFill="1" applyBorder="1" applyAlignment="1">
      <alignment vertical="top" wrapText="1"/>
    </xf>
    <xf numFmtId="0" fontId="5" fillId="13" borderId="83" xfId="0" applyFont="1" applyFill="1" applyBorder="1" applyAlignment="1">
      <alignment vertical="top" wrapText="1"/>
    </xf>
    <xf numFmtId="0" fontId="3" fillId="13" borderId="85" xfId="0" applyFont="1" applyFill="1" applyBorder="1" applyAlignment="1">
      <alignment horizontal="center" vertical="top" wrapText="1"/>
    </xf>
    <xf numFmtId="0" fontId="5" fillId="13" borderId="78" xfId="0" applyFont="1" applyFill="1" applyBorder="1" applyAlignment="1">
      <alignment vertical="top" wrapText="1"/>
    </xf>
    <xf numFmtId="0" fontId="5" fillId="13" borderId="80" xfId="0" applyFont="1" applyFill="1" applyBorder="1" applyAlignment="1">
      <alignment horizontal="center" vertical="top" wrapText="1"/>
    </xf>
    <xf numFmtId="0" fontId="5" fillId="13" borderId="76" xfId="0" applyFont="1" applyFill="1" applyBorder="1" applyAlignment="1">
      <alignment vertical="top" wrapText="1"/>
    </xf>
    <xf numFmtId="0" fontId="5" fillId="13" borderId="77" xfId="0" applyFont="1" applyFill="1" applyBorder="1" applyAlignment="1">
      <alignment horizontal="center" vertical="top" wrapText="1"/>
    </xf>
    <xf numFmtId="0" fontId="5" fillId="13" borderId="84" xfId="0" applyFont="1" applyFill="1" applyBorder="1" applyAlignment="1">
      <alignment vertical="top" wrapText="1"/>
    </xf>
    <xf numFmtId="0" fontId="5" fillId="13" borderId="79" xfId="0" applyFont="1" applyFill="1" applyBorder="1" applyAlignment="1">
      <alignment vertical="top" wrapText="1"/>
    </xf>
    <xf numFmtId="0" fontId="5" fillId="14" borderId="76" xfId="0" applyFont="1" applyFill="1" applyBorder="1" applyAlignment="1">
      <alignment vertical="top" wrapText="1"/>
    </xf>
    <xf numFmtId="0" fontId="5" fillId="14" borderId="77" xfId="0" applyFont="1" applyFill="1" applyBorder="1" applyAlignment="1">
      <alignment horizontal="center" vertical="top" wrapText="1"/>
    </xf>
    <xf numFmtId="0" fontId="5" fillId="15" borderId="76" xfId="0" applyFont="1" applyFill="1" applyBorder="1" applyAlignment="1">
      <alignment vertical="top" wrapText="1"/>
    </xf>
    <xf numFmtId="0" fontId="5" fillId="15" borderId="77" xfId="0" applyFont="1" applyFill="1" applyBorder="1" applyAlignment="1">
      <alignment horizontal="center" vertical="top" wrapText="1"/>
    </xf>
    <xf numFmtId="0" fontId="5" fillId="15" borderId="83" xfId="0" applyFont="1" applyFill="1" applyBorder="1" applyAlignment="1">
      <alignment vertical="top" wrapText="1"/>
    </xf>
    <xf numFmtId="0" fontId="5" fillId="15" borderId="78" xfId="0" applyFont="1" applyFill="1" applyBorder="1" applyAlignment="1">
      <alignment vertical="top" wrapText="1"/>
    </xf>
    <xf numFmtId="0" fontId="5" fillId="15" borderId="80" xfId="0" applyFont="1" applyFill="1" applyBorder="1" applyAlignment="1">
      <alignment horizontal="center" vertical="top" wrapText="1"/>
    </xf>
    <xf numFmtId="0" fontId="5" fillId="15" borderId="79" xfId="0" applyFont="1" applyFill="1" applyBorder="1" applyAlignment="1">
      <alignment vertical="top" wrapText="1"/>
    </xf>
    <xf numFmtId="0" fontId="5" fillId="16" borderId="79" xfId="0" applyFont="1" applyFill="1" applyBorder="1" applyAlignment="1">
      <alignment vertical="top" wrapText="1"/>
    </xf>
    <xf numFmtId="0" fontId="5" fillId="16" borderId="80" xfId="0" applyFont="1" applyFill="1" applyBorder="1" applyAlignment="1">
      <alignment horizontal="center" vertical="top" wrapText="1"/>
    </xf>
    <xf numFmtId="0" fontId="5" fillId="16" borderId="78" xfId="0" applyFont="1" applyFill="1" applyBorder="1" applyAlignment="1">
      <alignment vertical="top" wrapText="1"/>
    </xf>
    <xf numFmtId="2" fontId="5" fillId="0" borderId="0" xfId="0" applyNumberFormat="1" applyFont="1" applyAlignment="1"/>
    <xf numFmtId="2" fontId="5" fillId="10" borderId="77" xfId="0" applyNumberFormat="1" applyFont="1" applyFill="1" applyBorder="1" applyAlignment="1">
      <alignment vertical="top" wrapText="1"/>
    </xf>
    <xf numFmtId="2" fontId="5" fillId="10" borderId="82" xfId="0" applyNumberFormat="1" applyFont="1" applyFill="1" applyBorder="1" applyAlignment="1">
      <alignment vertical="top" wrapText="1"/>
    </xf>
    <xf numFmtId="2" fontId="5" fillId="10" borderId="80" xfId="0" applyNumberFormat="1" applyFont="1" applyFill="1" applyBorder="1" applyAlignment="1">
      <alignment vertical="top" wrapText="1"/>
    </xf>
    <xf numFmtId="2" fontId="5" fillId="7" borderId="77" xfId="0" applyNumberFormat="1" applyFont="1" applyFill="1" applyBorder="1" applyAlignment="1">
      <alignment vertical="top" wrapText="1"/>
    </xf>
    <xf numFmtId="2" fontId="5" fillId="11" borderId="77" xfId="0" applyNumberFormat="1" applyFont="1" applyFill="1" applyBorder="1" applyAlignment="1">
      <alignment vertical="top" wrapText="1"/>
    </xf>
    <xf numFmtId="2" fontId="5" fillId="11" borderId="80" xfId="0" applyNumberFormat="1" applyFont="1" applyFill="1" applyBorder="1" applyAlignment="1">
      <alignment vertical="top" wrapText="1"/>
    </xf>
    <xf numFmtId="2" fontId="3" fillId="12" borderId="85" xfId="0" applyNumberFormat="1" applyFont="1" applyFill="1" applyBorder="1" applyAlignment="1">
      <alignment vertical="top" wrapText="1"/>
    </xf>
    <xf numFmtId="2" fontId="5" fillId="12" borderId="80" xfId="0" applyNumberFormat="1" applyFont="1" applyFill="1" applyBorder="1" applyAlignment="1">
      <alignment vertical="top" wrapText="1"/>
    </xf>
    <xf numFmtId="2" fontId="3" fillId="13" borderId="85" xfId="0" applyNumberFormat="1" applyFont="1" applyFill="1" applyBorder="1" applyAlignment="1">
      <alignment vertical="top" wrapText="1"/>
    </xf>
    <xf numFmtId="2" fontId="5" fillId="13" borderId="80" xfId="0" applyNumberFormat="1" applyFont="1" applyFill="1" applyBorder="1" applyAlignment="1">
      <alignment vertical="top" wrapText="1"/>
    </xf>
    <xf numFmtId="2" fontId="5" fillId="13" borderId="77" xfId="0" applyNumberFormat="1" applyFont="1" applyFill="1" applyBorder="1" applyAlignment="1">
      <alignment vertical="top" wrapText="1"/>
    </xf>
    <xf numFmtId="2" fontId="5" fillId="14" borderId="77" xfId="0" applyNumberFormat="1" applyFont="1" applyFill="1" applyBorder="1" applyAlignment="1">
      <alignment vertical="top" wrapText="1"/>
    </xf>
    <xf numFmtId="2" fontId="5" fillId="0" borderId="77" xfId="0" applyNumberFormat="1" applyFont="1" applyBorder="1" applyAlignment="1">
      <alignment vertical="top" wrapText="1"/>
    </xf>
    <xf numFmtId="2" fontId="5" fillId="0" borderId="80" xfId="0" applyNumberFormat="1" applyFont="1" applyBorder="1" applyAlignment="1">
      <alignment vertical="top" wrapText="1"/>
    </xf>
    <xf numFmtId="2" fontId="5" fillId="15" borderId="77" xfId="0" applyNumberFormat="1" applyFont="1" applyFill="1" applyBorder="1" applyAlignment="1">
      <alignment vertical="top" wrapText="1"/>
    </xf>
    <xf numFmtId="2" fontId="5" fillId="15" borderId="80" xfId="0" applyNumberFormat="1" applyFont="1" applyFill="1" applyBorder="1" applyAlignment="1">
      <alignment vertical="top" wrapText="1"/>
    </xf>
    <xf numFmtId="2" fontId="5" fillId="16" borderId="77" xfId="0" applyNumberFormat="1" applyFont="1" applyFill="1" applyBorder="1" applyAlignment="1">
      <alignment vertical="top" wrapText="1"/>
    </xf>
    <xf numFmtId="2" fontId="5" fillId="16" borderId="80" xfId="0" applyNumberFormat="1" applyFont="1" applyFill="1" applyBorder="1" applyAlignment="1">
      <alignment vertical="top" wrapText="1"/>
    </xf>
    <xf numFmtId="0" fontId="3" fillId="0" borderId="78" xfId="0" applyFont="1" applyBorder="1" applyAlignment="1">
      <alignment vertical="top" wrapText="1"/>
    </xf>
    <xf numFmtId="0" fontId="3" fillId="0" borderId="80" xfId="0" applyFont="1" applyBorder="1" applyAlignment="1">
      <alignment horizontal="center" vertical="top" wrapText="1"/>
    </xf>
    <xf numFmtId="2" fontId="3" fillId="0" borderId="80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/>
    <xf numFmtId="2" fontId="2" fillId="0" borderId="17" xfId="0" applyNumberFormat="1" applyFont="1" applyFill="1" applyBorder="1" applyAlignment="1">
      <alignment horizontal="center" shrinkToFit="1"/>
    </xf>
    <xf numFmtId="0" fontId="3" fillId="0" borderId="81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1" fontId="58" fillId="3" borderId="0" xfId="0" applyNumberFormat="1" applyFont="1" applyFill="1" applyBorder="1" applyAlignment="1">
      <alignment horizontal="center"/>
    </xf>
    <xf numFmtId="0" fontId="58" fillId="3" borderId="0" xfId="0" applyFont="1" applyFill="1"/>
    <xf numFmtId="2" fontId="3" fillId="0" borderId="82" xfId="0" applyNumberFormat="1" applyFont="1" applyBorder="1" applyAlignment="1">
      <alignment horizontal="center" vertical="center" wrapText="1"/>
    </xf>
    <xf numFmtId="2" fontId="5" fillId="0" borderId="80" xfId="0" applyNumberFormat="1" applyFont="1" applyBorder="1" applyAlignment="1">
      <alignment horizontal="center" vertical="top" wrapText="1"/>
    </xf>
    <xf numFmtId="2" fontId="5" fillId="0" borderId="2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8" fillId="3" borderId="0" xfId="0" applyFont="1" applyFill="1" applyBorder="1"/>
    <xf numFmtId="2" fontId="59" fillId="3" borderId="0" xfId="0" applyNumberFormat="1" applyFont="1" applyFill="1" applyBorder="1" applyAlignment="1"/>
    <xf numFmtId="2" fontId="59" fillId="3" borderId="0" xfId="0" applyNumberFormat="1" applyFont="1" applyFill="1" applyAlignment="1"/>
    <xf numFmtId="2" fontId="58" fillId="3" borderId="0" xfId="0" applyNumberFormat="1" applyFont="1" applyFill="1" applyBorder="1"/>
    <xf numFmtId="2" fontId="58" fillId="3" borderId="0" xfId="0" applyNumberFormat="1" applyFont="1" applyFill="1"/>
    <xf numFmtId="1" fontId="58" fillId="3" borderId="0" xfId="0" applyNumberFormat="1" applyFont="1" applyFill="1" applyAlignment="1">
      <alignment horizontal="center"/>
    </xf>
    <xf numFmtId="2" fontId="58" fillId="3" borderId="0" xfId="0" applyNumberFormat="1" applyFont="1" applyFill="1" applyBorder="1" applyAlignment="1">
      <alignment horizontal="right"/>
    </xf>
    <xf numFmtId="2" fontId="58" fillId="3" borderId="0" xfId="0" applyNumberFormat="1" applyFont="1" applyFill="1" applyAlignment="1">
      <alignment horizontal="right"/>
    </xf>
    <xf numFmtId="2" fontId="59" fillId="3" borderId="0" xfId="0" applyNumberFormat="1" applyFont="1" applyFill="1" applyBorder="1"/>
    <xf numFmtId="2" fontId="59" fillId="3" borderId="0" xfId="0" applyNumberFormat="1" applyFont="1" applyFill="1"/>
    <xf numFmtId="0" fontId="60" fillId="0" borderId="0" xfId="0" applyFont="1"/>
    <xf numFmtId="2" fontId="60" fillId="0" borderId="0" xfId="0" applyNumberFormat="1" applyFont="1"/>
    <xf numFmtId="0" fontId="58" fillId="0" borderId="1" xfId="0" applyFont="1" applyFill="1" applyBorder="1" applyAlignment="1">
      <alignment horizontal="left" vertical="center" wrapText="1" shrinkToFit="1"/>
    </xf>
    <xf numFmtId="0" fontId="58" fillId="0" borderId="1" xfId="0" applyFont="1" applyFill="1" applyBorder="1" applyAlignment="1">
      <alignment horizontal="center" shrinkToFit="1"/>
    </xf>
    <xf numFmtId="2" fontId="58" fillId="0" borderId="1" xfId="0" applyNumberFormat="1" applyFont="1" applyBorder="1" applyAlignment="1">
      <alignment horizontal="center"/>
    </xf>
    <xf numFmtId="0" fontId="58" fillId="0" borderId="0" xfId="0" applyFont="1"/>
    <xf numFmtId="0" fontId="58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165" fontId="5" fillId="3" borderId="28" xfId="0" applyNumberFormat="1" applyFont="1" applyFill="1" applyBorder="1" applyAlignment="1"/>
    <xf numFmtId="2" fontId="5" fillId="3" borderId="28" xfId="0" applyNumberFormat="1" applyFont="1" applyFill="1" applyBorder="1" applyAlignment="1"/>
    <xf numFmtId="0" fontId="5" fillId="0" borderId="30" xfId="0" applyFont="1" applyBorder="1"/>
    <xf numFmtId="0" fontId="5" fillId="0" borderId="23" xfId="0" applyFont="1" applyBorder="1"/>
    <xf numFmtId="2" fontId="5" fillId="3" borderId="25" xfId="0" applyNumberFormat="1" applyFont="1" applyFill="1" applyBorder="1" applyAlignment="1">
      <alignment horizontal="left"/>
    </xf>
    <xf numFmtId="1" fontId="5" fillId="3" borderId="22" xfId="0" applyNumberFormat="1" applyFont="1" applyFill="1" applyBorder="1" applyAlignment="1">
      <alignment horizontal="center"/>
    </xf>
    <xf numFmtId="2" fontId="5" fillId="3" borderId="30" xfId="0" applyNumberFormat="1" applyFont="1" applyFill="1" applyBorder="1" applyAlignment="1">
      <alignment horizontal="right"/>
    </xf>
    <xf numFmtId="2" fontId="32" fillId="3" borderId="30" xfId="0" applyNumberFormat="1" applyFont="1" applyFill="1" applyBorder="1" applyAlignment="1">
      <alignment horizontal="right"/>
    </xf>
    <xf numFmtId="2" fontId="3" fillId="3" borderId="30" xfId="0" applyNumberFormat="1" applyFont="1" applyFill="1" applyBorder="1" applyAlignment="1">
      <alignment horizontal="right"/>
    </xf>
    <xf numFmtId="2" fontId="55" fillId="3" borderId="30" xfId="0" applyNumberFormat="1" applyFont="1" applyFill="1" applyBorder="1" applyAlignment="1">
      <alignment horizontal="right"/>
    </xf>
    <xf numFmtId="2" fontId="3" fillId="3" borderId="30" xfId="0" applyNumberFormat="1" applyFont="1" applyFill="1" applyBorder="1" applyAlignment="1" applyProtection="1">
      <alignment horizontal="right"/>
      <protection locked="0"/>
    </xf>
    <xf numFmtId="2" fontId="5" fillId="3" borderId="23" xfId="0" applyNumberFormat="1" applyFont="1" applyFill="1" applyBorder="1" applyAlignment="1">
      <alignment horizontal="right"/>
    </xf>
    <xf numFmtId="0" fontId="9" fillId="0" borderId="8" xfId="0" applyFont="1" applyBorder="1" applyAlignment="1">
      <alignment horizontal="left"/>
    </xf>
    <xf numFmtId="2" fontId="5" fillId="3" borderId="30" xfId="0" applyNumberFormat="1" applyFont="1" applyFill="1" applyBorder="1" applyAlignment="1" applyProtection="1">
      <alignment horizontal="right"/>
      <protection locked="0"/>
    </xf>
    <xf numFmtId="2" fontId="55" fillId="3" borderId="30" xfId="0" applyNumberFormat="1" applyFont="1" applyFill="1" applyBorder="1" applyAlignment="1" applyProtection="1">
      <alignment horizontal="right"/>
      <protection locked="0"/>
    </xf>
    <xf numFmtId="2" fontId="5" fillId="3" borderId="23" xfId="0" applyNumberFormat="1" applyFont="1" applyFill="1" applyBorder="1" applyAlignment="1" applyProtection="1">
      <alignment horizontal="right"/>
      <protection locked="0"/>
    </xf>
    <xf numFmtId="0" fontId="50" fillId="0" borderId="17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0" fontId="51" fillId="0" borderId="25" xfId="0" applyFont="1" applyBorder="1" applyAlignment="1">
      <alignment wrapText="1"/>
    </xf>
    <xf numFmtId="0" fontId="51" fillId="0" borderId="8" xfId="0" applyFont="1" applyBorder="1" applyAlignment="1">
      <alignment wrapText="1"/>
    </xf>
    <xf numFmtId="0" fontId="50" fillId="0" borderId="18" xfId="0" applyFont="1" applyBorder="1" applyAlignment="1">
      <alignment wrapText="1"/>
    </xf>
    <xf numFmtId="0" fontId="50" fillId="0" borderId="12" xfId="0" applyFont="1" applyBorder="1" applyAlignment="1">
      <alignment horizontal="center" wrapText="1"/>
    </xf>
    <xf numFmtId="0" fontId="50" fillId="0" borderId="10" xfId="0" applyFont="1" applyBorder="1" applyAlignment="1">
      <alignment wrapText="1"/>
    </xf>
    <xf numFmtId="0" fontId="50" fillId="0" borderId="17" xfId="0" applyFont="1" applyBorder="1" applyAlignment="1">
      <alignment wrapText="1"/>
    </xf>
    <xf numFmtId="0" fontId="50" fillId="0" borderId="5" xfId="0" applyFont="1" applyBorder="1" applyAlignment="1">
      <alignment horizontal="center" wrapText="1"/>
    </xf>
    <xf numFmtId="0" fontId="50" fillId="0" borderId="9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21" xfId="0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165" fontId="5" fillId="3" borderId="28" xfId="0" applyNumberFormat="1" applyFont="1" applyFill="1" applyBorder="1" applyAlignment="1">
      <alignment horizontal="right"/>
    </xf>
    <xf numFmtId="2" fontId="5" fillId="3" borderId="28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165" fontId="5" fillId="3" borderId="1" xfId="0" applyNumberFormat="1" applyFont="1" applyFill="1" applyBorder="1"/>
    <xf numFmtId="2" fontId="5" fillId="3" borderId="1" xfId="0" applyNumberFormat="1" applyFont="1" applyFill="1" applyBorder="1"/>
    <xf numFmtId="2" fontId="5" fillId="9" borderId="30" xfId="0" applyNumberFormat="1" applyFont="1" applyFill="1" applyBorder="1" applyAlignment="1">
      <alignment horizontal="right" vertical="top" wrapText="1"/>
    </xf>
    <xf numFmtId="2" fontId="5" fillId="3" borderId="30" xfId="0" applyNumberFormat="1" applyFont="1" applyFill="1" applyBorder="1"/>
    <xf numFmtId="0" fontId="39" fillId="0" borderId="17" xfId="0" applyFont="1" applyBorder="1"/>
    <xf numFmtId="0" fontId="39" fillId="0" borderId="18" xfId="0" applyFont="1" applyBorder="1"/>
    <xf numFmtId="0" fontId="39" fillId="0" borderId="8" xfId="0" applyFont="1" applyBorder="1"/>
    <xf numFmtId="1" fontId="39" fillId="0" borderId="22" xfId="0" applyNumberFormat="1" applyFont="1" applyBorder="1" applyAlignment="1">
      <alignment horizontal="center"/>
    </xf>
    <xf numFmtId="2" fontId="39" fillId="0" borderId="30" xfId="0" applyNumberFormat="1" applyFont="1" applyBorder="1"/>
    <xf numFmtId="0" fontId="39" fillId="0" borderId="30" xfId="0" applyFont="1" applyBorder="1"/>
    <xf numFmtId="0" fontId="39" fillId="0" borderId="23" xfId="0" applyFont="1" applyBorder="1"/>
    <xf numFmtId="0" fontId="9" fillId="0" borderId="9" xfId="0" applyFont="1" applyBorder="1"/>
    <xf numFmtId="1" fontId="40" fillId="0" borderId="22" xfId="0" applyNumberFormat="1" applyFont="1" applyBorder="1" applyAlignment="1">
      <alignment horizontal="center"/>
    </xf>
    <xf numFmtId="0" fontId="39" fillId="0" borderId="32" xfId="0" applyFont="1" applyBorder="1"/>
    <xf numFmtId="0" fontId="55" fillId="0" borderId="0" xfId="0" applyFont="1"/>
    <xf numFmtId="14" fontId="55" fillId="0" borderId="57" xfId="2" applyNumberFormat="1" applyFont="1" applyBorder="1" applyAlignment="1">
      <alignment horizontal="justify" vertical="top" wrapText="1"/>
    </xf>
    <xf numFmtId="164" fontId="55" fillId="0" borderId="36" xfId="2" applyFont="1" applyBorder="1" applyAlignment="1">
      <alignment horizontal="center" vertical="top" wrapText="1"/>
    </xf>
    <xf numFmtId="164" fontId="55" fillId="0" borderId="58" xfId="2" applyFont="1" applyBorder="1" applyAlignment="1">
      <alignment horizontal="center" vertical="top" wrapText="1"/>
    </xf>
    <xf numFmtId="2" fontId="55" fillId="0" borderId="1" xfId="2" applyNumberFormat="1" applyFont="1" applyBorder="1" applyAlignment="1">
      <alignment horizontal="right" vertical="top" wrapText="1"/>
    </xf>
    <xf numFmtId="1" fontId="55" fillId="0" borderId="1" xfId="2" applyNumberFormat="1" applyFont="1" applyBorder="1" applyAlignment="1">
      <alignment horizontal="center" vertical="top" wrapText="1"/>
    </xf>
    <xf numFmtId="2" fontId="55" fillId="9" borderId="1" xfId="2" applyNumberFormat="1" applyFont="1" applyFill="1" applyBorder="1" applyAlignment="1">
      <alignment horizontal="right" vertical="center" wrapText="1"/>
    </xf>
    <xf numFmtId="2" fontId="55" fillId="0" borderId="1" xfId="2" applyNumberFormat="1" applyFont="1" applyBorder="1" applyAlignment="1">
      <alignment horizontal="right" vertical="center" wrapText="1"/>
    </xf>
    <xf numFmtId="1" fontId="55" fillId="0" borderId="1" xfId="2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164" fontId="55" fillId="0" borderId="0" xfId="2" applyFont="1" applyAlignment="1">
      <alignment wrapText="1"/>
    </xf>
    <xf numFmtId="0" fontId="55" fillId="0" borderId="0" xfId="0" applyFont="1" applyFill="1"/>
    <xf numFmtId="2" fontId="55" fillId="0" borderId="4" xfId="2" applyNumberFormat="1" applyFont="1" applyBorder="1" applyAlignment="1">
      <alignment vertical="top" wrapText="1"/>
    </xf>
    <xf numFmtId="2" fontId="55" fillId="0" borderId="30" xfId="0" applyNumberFormat="1" applyFont="1" applyBorder="1"/>
    <xf numFmtId="2" fontId="55" fillId="0" borderId="4" xfId="2" applyNumberFormat="1" applyFont="1" applyBorder="1" applyAlignment="1">
      <alignment vertical="center" wrapText="1"/>
    </xf>
    <xf numFmtId="2" fontId="55" fillId="0" borderId="4" xfId="2" applyNumberFormat="1" applyFont="1" applyBorder="1" applyAlignment="1">
      <alignment horizontal="left" vertical="center" wrapText="1"/>
    </xf>
    <xf numFmtId="1" fontId="55" fillId="0" borderId="0" xfId="0" applyNumberFormat="1" applyFont="1"/>
    <xf numFmtId="2" fontId="9" fillId="0" borderId="0" xfId="0" applyNumberFormat="1" applyFont="1" applyAlignment="1">
      <alignment horizontal="center"/>
    </xf>
    <xf numFmtId="2" fontId="55" fillId="17" borderId="1" xfId="2" applyNumberFormat="1" applyFont="1" applyFill="1" applyBorder="1" applyAlignment="1">
      <alignment horizontal="right" vertical="center" wrapText="1"/>
    </xf>
    <xf numFmtId="164" fontId="55" fillId="0" borderId="1" xfId="2" applyFont="1" applyBorder="1" applyAlignment="1">
      <alignment wrapText="1"/>
    </xf>
    <xf numFmtId="2" fontId="55" fillId="0" borderId="1" xfId="2" applyNumberFormat="1" applyFont="1" applyBorder="1" applyAlignment="1">
      <alignment horizontal="center" vertical="center" wrapText="1"/>
    </xf>
    <xf numFmtId="2" fontId="61" fillId="0" borderId="1" xfId="2" applyNumberFormat="1" applyFont="1" applyBorder="1" applyAlignment="1">
      <alignment horizontal="center" vertical="center" wrapText="1"/>
    </xf>
    <xf numFmtId="165" fontId="55" fillId="0" borderId="1" xfId="2" applyNumberFormat="1" applyFont="1" applyBorder="1" applyAlignment="1">
      <alignment horizontal="center" vertical="center" wrapText="1"/>
    </xf>
    <xf numFmtId="165" fontId="55" fillId="0" borderId="1" xfId="2" applyNumberFormat="1" applyFont="1" applyBorder="1" applyAlignment="1">
      <alignment horizontal="center" wrapText="1"/>
    </xf>
    <xf numFmtId="169" fontId="55" fillId="0" borderId="1" xfId="2" applyNumberFormat="1" applyFont="1" applyBorder="1" applyAlignment="1">
      <alignment wrapText="1"/>
    </xf>
    <xf numFmtId="1" fontId="55" fillId="0" borderId="2" xfId="2" applyNumberFormat="1" applyFont="1" applyBorder="1" applyAlignment="1">
      <alignment horizontal="center" vertical="center" wrapText="1"/>
    </xf>
    <xf numFmtId="1" fontId="55" fillId="0" borderId="3" xfId="2" applyNumberFormat="1" applyFont="1" applyBorder="1" applyAlignment="1">
      <alignment horizontal="center" vertical="center" wrapText="1"/>
    </xf>
    <xf numFmtId="1" fontId="55" fillId="17" borderId="3" xfId="2" applyNumberFormat="1" applyFont="1" applyFill="1" applyBorder="1" applyAlignment="1">
      <alignment horizontal="center" vertical="center" wrapText="1"/>
    </xf>
    <xf numFmtId="164" fontId="55" fillId="0" borderId="4" xfId="2" applyFont="1" applyBorder="1" applyAlignment="1">
      <alignment wrapText="1"/>
    </xf>
    <xf numFmtId="169" fontId="55" fillId="0" borderId="21" xfId="2" applyNumberFormat="1" applyFont="1" applyBorder="1" applyAlignment="1">
      <alignment wrapText="1"/>
    </xf>
    <xf numFmtId="164" fontId="55" fillId="0" borderId="21" xfId="2" applyFont="1" applyBorder="1" applyAlignment="1">
      <alignment wrapText="1"/>
    </xf>
    <xf numFmtId="1" fontId="62" fillId="0" borderId="3" xfId="2" applyNumberFormat="1" applyFont="1" applyBorder="1" applyAlignment="1">
      <alignment horizontal="center" vertical="center" wrapText="1"/>
    </xf>
    <xf numFmtId="164" fontId="55" fillId="0" borderId="1" xfId="2" applyFont="1" applyBorder="1" applyAlignment="1">
      <alignment horizontal="right" vertical="top" wrapText="1"/>
    </xf>
    <xf numFmtId="164" fontId="55" fillId="0" borderId="1" xfId="2" applyFont="1" applyFill="1" applyBorder="1" applyAlignment="1">
      <alignment horizontal="justify" vertical="top" wrapText="1"/>
    </xf>
    <xf numFmtId="164" fontId="55" fillId="0" borderId="1" xfId="2" applyFont="1" applyFill="1" applyBorder="1" applyAlignment="1">
      <alignment horizontal="right" vertical="top" wrapText="1"/>
    </xf>
    <xf numFmtId="170" fontId="55" fillId="0" borderId="1" xfId="2" applyNumberFormat="1" applyFont="1" applyBorder="1" applyAlignment="1">
      <alignment horizontal="center" wrapText="1"/>
    </xf>
    <xf numFmtId="164" fontId="55" fillId="18" borderId="1" xfId="2" applyFont="1" applyFill="1" applyBorder="1" applyAlignment="1">
      <alignment wrapText="1"/>
    </xf>
    <xf numFmtId="164" fontId="55" fillId="0" borderId="1" xfId="2" applyFont="1" applyBorder="1" applyAlignment="1">
      <alignment horizontal="right" wrapText="1"/>
    </xf>
    <xf numFmtId="2" fontId="55" fillId="0" borderId="1" xfId="2" applyNumberFormat="1" applyFont="1" applyBorder="1" applyAlignment="1">
      <alignment wrapText="1"/>
    </xf>
    <xf numFmtId="164" fontId="55" fillId="0" borderId="1" xfId="2" applyFont="1" applyBorder="1" applyAlignment="1">
      <alignment horizontal="center" vertical="top" wrapText="1"/>
    </xf>
    <xf numFmtId="164" fontId="55" fillId="0" borderId="1" xfId="2" applyFont="1" applyBorder="1" applyAlignment="1">
      <alignment horizontal="justify" vertical="top" wrapText="1"/>
    </xf>
    <xf numFmtId="2" fontId="55" fillId="0" borderId="1" xfId="0" applyNumberFormat="1" applyFont="1" applyBorder="1"/>
    <xf numFmtId="9" fontId="55" fillId="0" borderId="1" xfId="2" applyNumberFormat="1" applyFont="1" applyBorder="1" applyAlignment="1">
      <alignment horizontal="right" vertical="top" wrapText="1"/>
    </xf>
    <xf numFmtId="9" fontId="55" fillId="0" borderId="1" xfId="2" applyNumberFormat="1" applyFont="1" applyFill="1" applyBorder="1" applyAlignment="1">
      <alignment horizontal="right" vertical="top" wrapText="1"/>
    </xf>
    <xf numFmtId="1" fontId="55" fillId="9" borderId="3" xfId="2" applyNumberFormat="1" applyFont="1" applyFill="1" applyBorder="1" applyAlignment="1">
      <alignment horizontal="center" vertical="center" wrapText="1"/>
    </xf>
    <xf numFmtId="1" fontId="55" fillId="18" borderId="1" xfId="0" applyNumberFormat="1" applyFont="1" applyFill="1" applyBorder="1"/>
    <xf numFmtId="1" fontId="61" fillId="0" borderId="3" xfId="0" applyNumberFormat="1" applyFont="1" applyBorder="1" applyAlignment="1">
      <alignment horizontal="center" vertical="center" wrapText="1"/>
    </xf>
    <xf numFmtId="1" fontId="55" fillId="0" borderId="22" xfId="0" applyNumberFormat="1" applyFont="1" applyBorder="1"/>
    <xf numFmtId="1" fontId="55" fillId="18" borderId="30" xfId="0" applyNumberFormat="1" applyFont="1" applyFill="1" applyBorder="1"/>
    <xf numFmtId="164" fontId="55" fillId="0" borderId="4" xfId="2" applyFont="1" applyBorder="1" applyAlignment="1">
      <alignment horizontal="justify" vertical="top" wrapText="1"/>
    </xf>
    <xf numFmtId="164" fontId="55" fillId="0" borderId="4" xfId="2" applyFont="1" applyFill="1" applyBorder="1" applyAlignment="1">
      <alignment horizontal="justify" vertical="top" wrapText="1"/>
    </xf>
    <xf numFmtId="164" fontId="55" fillId="18" borderId="4" xfId="2" applyFont="1" applyFill="1" applyBorder="1" applyAlignment="1">
      <alignment wrapText="1"/>
    </xf>
    <xf numFmtId="164" fontId="55" fillId="0" borderId="29" xfId="2" applyFont="1" applyBorder="1" applyAlignment="1">
      <alignment wrapText="1"/>
    </xf>
    <xf numFmtId="0" fontId="55" fillId="0" borderId="21" xfId="0" applyFont="1" applyBorder="1"/>
    <xf numFmtId="0" fontId="55" fillId="0" borderId="23" xfId="0" applyFont="1" applyBorder="1"/>
    <xf numFmtId="2" fontId="3" fillId="3" borderId="31" xfId="0" applyNumberFormat="1" applyFont="1" applyFill="1" applyBorder="1" applyAlignment="1">
      <alignment horizontal="left"/>
    </xf>
    <xf numFmtId="0" fontId="5" fillId="3" borderId="6" xfId="0" applyFont="1" applyFill="1" applyBorder="1" applyAlignment="1"/>
    <xf numFmtId="0" fontId="9" fillId="9" borderId="0" xfId="4" applyFont="1" applyFill="1" applyAlignment="1">
      <alignment horizontal="left"/>
    </xf>
    <xf numFmtId="1" fontId="9" fillId="9" borderId="0" xfId="4" applyNumberFormat="1" applyFont="1" applyFill="1"/>
    <xf numFmtId="2" fontId="9" fillId="9" borderId="0" xfId="4" applyNumberFormat="1" applyFont="1" applyFill="1"/>
    <xf numFmtId="165" fontId="9" fillId="9" borderId="0" xfId="4" applyNumberFormat="1" applyFont="1" applyFill="1"/>
    <xf numFmtId="166" fontId="9" fillId="9" borderId="0" xfId="4" applyNumberFormat="1" applyFont="1" applyFill="1" applyAlignment="1">
      <alignment horizontal="center"/>
    </xf>
    <xf numFmtId="2" fontId="9" fillId="9" borderId="0" xfId="4" applyNumberFormat="1" applyFont="1" applyFill="1" applyAlignment="1"/>
    <xf numFmtId="0" fontId="9" fillId="9" borderId="0" xfId="4" applyFont="1" applyFill="1"/>
    <xf numFmtId="0" fontId="9" fillId="9" borderId="0" xfId="4" applyFont="1" applyFill="1" applyBorder="1" applyAlignment="1">
      <alignment horizontal="center"/>
    </xf>
    <xf numFmtId="1" fontId="9" fillId="9" borderId="0" xfId="4" applyNumberFormat="1" applyFont="1" applyFill="1" applyAlignment="1">
      <alignment horizontal="center"/>
    </xf>
    <xf numFmtId="1" fontId="2" fillId="9" borderId="0" xfId="4" applyNumberFormat="1" applyFont="1" applyFill="1" applyBorder="1"/>
    <xf numFmtId="2" fontId="2" fillId="9" borderId="0" xfId="4" applyNumberFormat="1" applyFont="1" applyFill="1" applyBorder="1"/>
    <xf numFmtId="165" fontId="2" fillId="9" borderId="0" xfId="4" applyNumberFormat="1" applyFont="1" applyFill="1" applyBorder="1"/>
    <xf numFmtId="166" fontId="9" fillId="9" borderId="0" xfId="4" applyNumberFormat="1" applyFont="1" applyFill="1" applyBorder="1" applyAlignment="1">
      <alignment horizontal="center"/>
    </xf>
    <xf numFmtId="2" fontId="9" fillId="9" borderId="0" xfId="4" applyNumberFormat="1" applyFont="1" applyFill="1" applyBorder="1" applyAlignment="1"/>
    <xf numFmtId="0" fontId="9" fillId="9" borderId="0" xfId="4" applyFont="1" applyFill="1" applyBorder="1"/>
    <xf numFmtId="0" fontId="9" fillId="9" borderId="0" xfId="4" applyFont="1" applyFill="1" applyBorder="1" applyAlignment="1">
      <alignment horizontal="left"/>
    </xf>
    <xf numFmtId="165" fontId="9" fillId="9" borderId="0" xfId="4" applyNumberFormat="1" applyFont="1" applyFill="1" applyBorder="1"/>
    <xf numFmtId="2" fontId="2" fillId="9" borderId="1" xfId="4" applyNumberFormat="1" applyFont="1" applyFill="1" applyBorder="1" applyAlignment="1">
      <alignment horizontal="center"/>
    </xf>
    <xf numFmtId="0" fontId="9" fillId="9" borderId="1" xfId="4" applyFont="1" applyFill="1" applyBorder="1" applyAlignment="1">
      <alignment horizontal="center"/>
    </xf>
    <xf numFmtId="0" fontId="2" fillId="9" borderId="1" xfId="4" applyFont="1" applyFill="1" applyBorder="1" applyAlignment="1">
      <alignment horizontal="center" vertical="center" wrapText="1"/>
    </xf>
    <xf numFmtId="0" fontId="9" fillId="9" borderId="1" xfId="4" applyFont="1" applyFill="1" applyBorder="1" applyAlignment="1">
      <alignment horizontal="left" vertical="center" wrapText="1"/>
    </xf>
    <xf numFmtId="2" fontId="9" fillId="9" borderId="1" xfId="4" applyNumberFormat="1" applyFont="1" applyFill="1" applyBorder="1" applyAlignment="1">
      <alignment vertical="center" wrapText="1"/>
    </xf>
    <xf numFmtId="165" fontId="63" fillId="9" borderId="1" xfId="4" applyNumberFormat="1" applyFont="1" applyFill="1" applyBorder="1" applyAlignment="1">
      <alignment horizontal="center"/>
    </xf>
    <xf numFmtId="2" fontId="9" fillId="9" borderId="1" xfId="4" applyNumberFormat="1" applyFont="1" applyFill="1" applyBorder="1" applyAlignment="1">
      <alignment horizontal="center" vertical="center" wrapText="1"/>
    </xf>
    <xf numFmtId="165" fontId="9" fillId="9" borderId="1" xfId="4" applyNumberFormat="1" applyFont="1" applyFill="1" applyBorder="1" applyAlignment="1">
      <alignment horizontal="center" vertical="center" wrapText="1"/>
    </xf>
    <xf numFmtId="166" fontId="9" fillId="9" borderId="1" xfId="4" applyNumberFormat="1" applyFont="1" applyFill="1" applyBorder="1" applyAlignment="1">
      <alignment horizontal="center"/>
    </xf>
    <xf numFmtId="2" fontId="9" fillId="9" borderId="1" xfId="4" applyNumberFormat="1" applyFont="1" applyFill="1" applyBorder="1" applyAlignment="1"/>
    <xf numFmtId="2" fontId="63" fillId="9" borderId="1" xfId="4" applyNumberFormat="1" applyFont="1" applyFill="1" applyBorder="1" applyAlignment="1">
      <alignment horizontal="center"/>
    </xf>
    <xf numFmtId="0" fontId="9" fillId="9" borderId="1" xfId="4" applyFont="1" applyFill="1" applyBorder="1"/>
    <xf numFmtId="2" fontId="9" fillId="9" borderId="1" xfId="4" applyNumberFormat="1" applyFont="1" applyFill="1" applyBorder="1" applyAlignment="1">
      <alignment horizontal="center"/>
    </xf>
    <xf numFmtId="165" fontId="9" fillId="9" borderId="1" xfId="4" applyNumberFormat="1" applyFont="1" applyFill="1" applyBorder="1" applyAlignment="1">
      <alignment horizontal="center"/>
    </xf>
    <xf numFmtId="4" fontId="2" fillId="9" borderId="1" xfId="4" applyNumberFormat="1" applyFont="1" applyFill="1" applyBorder="1" applyAlignment="1">
      <alignment horizontal="center"/>
    </xf>
    <xf numFmtId="2" fontId="9" fillId="9" borderId="1" xfId="4" applyNumberFormat="1" applyFont="1" applyFill="1" applyBorder="1" applyAlignment="1">
      <alignment horizontal="right"/>
    </xf>
    <xf numFmtId="166" fontId="2" fillId="9" borderId="1" xfId="4" applyNumberFormat="1" applyFont="1" applyFill="1" applyBorder="1" applyAlignment="1">
      <alignment horizontal="center"/>
    </xf>
    <xf numFmtId="2" fontId="2" fillId="9" borderId="1" xfId="4" applyNumberFormat="1" applyFont="1" applyFill="1" applyBorder="1" applyAlignment="1">
      <alignment horizontal="right"/>
    </xf>
    <xf numFmtId="0" fontId="60" fillId="9" borderId="1" xfId="4" applyFont="1" applyFill="1" applyBorder="1"/>
    <xf numFmtId="2" fontId="2" fillId="9" borderId="1" xfId="4" applyNumberFormat="1" applyFont="1" applyFill="1" applyBorder="1" applyAlignment="1"/>
    <xf numFmtId="165" fontId="60" fillId="9" borderId="1" xfId="4" applyNumberFormat="1" applyFont="1" applyFill="1" applyBorder="1" applyAlignment="1">
      <alignment horizontal="center"/>
    </xf>
    <xf numFmtId="4" fontId="9" fillId="9" borderId="1" xfId="4" applyNumberFormat="1" applyFont="1" applyFill="1" applyBorder="1" applyAlignment="1">
      <alignment horizontal="center"/>
    </xf>
    <xf numFmtId="165" fontId="2" fillId="9" borderId="1" xfId="4" applyNumberFormat="1" applyFont="1" applyFill="1" applyBorder="1" applyAlignment="1">
      <alignment horizontal="right"/>
    </xf>
    <xf numFmtId="165" fontId="2" fillId="9" borderId="1" xfId="4" applyNumberFormat="1" applyFont="1" applyFill="1" applyBorder="1" applyAlignment="1">
      <alignment horizontal="center"/>
    </xf>
    <xf numFmtId="0" fontId="64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" fontId="9" fillId="9" borderId="1" xfId="4" applyNumberFormat="1" applyFont="1" applyFill="1" applyBorder="1" applyAlignment="1">
      <alignment horizontal="center"/>
    </xf>
    <xf numFmtId="1" fontId="17" fillId="9" borderId="0" xfId="4" applyNumberFormat="1" applyFont="1" applyFill="1" applyBorder="1"/>
    <xf numFmtId="0" fontId="31" fillId="9" borderId="0" xfId="4" applyFont="1" applyFill="1" applyAlignment="1">
      <alignment horizontal="left"/>
    </xf>
    <xf numFmtId="165" fontId="17" fillId="9" borderId="0" xfId="4" applyNumberFormat="1" applyFont="1" applyFill="1" applyBorder="1"/>
    <xf numFmtId="4" fontId="17" fillId="9" borderId="0" xfId="4" applyNumberFormat="1" applyFont="1" applyFill="1" applyBorder="1"/>
    <xf numFmtId="2" fontId="31" fillId="9" borderId="0" xfId="4" applyNumberFormat="1" applyFont="1" applyFill="1" applyBorder="1" applyAlignment="1">
      <alignment horizontal="center"/>
    </xf>
    <xf numFmtId="0" fontId="31" fillId="9" borderId="0" xfId="4" applyFont="1" applyFill="1" applyAlignment="1">
      <alignment horizontal="center"/>
    </xf>
    <xf numFmtId="2" fontId="31" fillId="9" borderId="0" xfId="4" applyNumberFormat="1" applyFont="1" applyFill="1"/>
    <xf numFmtId="0" fontId="31" fillId="9" borderId="0" xfId="4" applyFont="1" applyFill="1" applyBorder="1"/>
    <xf numFmtId="0" fontId="31" fillId="9" borderId="0" xfId="4" applyFont="1" applyFill="1" applyBorder="1" applyAlignment="1">
      <alignment horizontal="left"/>
    </xf>
    <xf numFmtId="1" fontId="31" fillId="9" borderId="0" xfId="4" applyNumberFormat="1" applyFont="1" applyFill="1" applyBorder="1"/>
    <xf numFmtId="165" fontId="31" fillId="9" borderId="0" xfId="4" applyNumberFormat="1" applyFont="1" applyFill="1" applyBorder="1"/>
    <xf numFmtId="4" fontId="31" fillId="9" borderId="0" xfId="4" applyNumberFormat="1" applyFont="1" applyFill="1" applyBorder="1"/>
    <xf numFmtId="2" fontId="17" fillId="9" borderId="1" xfId="4" applyNumberFormat="1" applyFont="1" applyFill="1" applyBorder="1" applyAlignment="1">
      <alignment horizontal="center"/>
    </xf>
    <xf numFmtId="0" fontId="31" fillId="9" borderId="1" xfId="4" applyFont="1" applyFill="1" applyBorder="1" applyAlignment="1">
      <alignment horizontal="center"/>
    </xf>
    <xf numFmtId="0" fontId="17" fillId="9" borderId="1" xfId="4" applyFont="1" applyFill="1" applyBorder="1" applyAlignment="1">
      <alignment horizontal="center" vertical="center" wrapText="1"/>
    </xf>
    <xf numFmtId="0" fontId="31" fillId="9" borderId="1" xfId="4" applyFont="1" applyFill="1" applyBorder="1" applyAlignment="1">
      <alignment horizontal="left" vertical="center" wrapText="1"/>
    </xf>
    <xf numFmtId="1" fontId="31" fillId="9" borderId="1" xfId="4" applyNumberFormat="1" applyFont="1" applyFill="1" applyBorder="1" applyAlignment="1">
      <alignment vertical="center" wrapText="1"/>
    </xf>
    <xf numFmtId="165" fontId="65" fillId="9" borderId="1" xfId="4" applyNumberFormat="1" applyFont="1" applyFill="1" applyBorder="1" applyAlignment="1">
      <alignment horizontal="center" vertical="center" wrapText="1"/>
    </xf>
    <xf numFmtId="1" fontId="31" fillId="9" borderId="1" xfId="4" applyNumberFormat="1" applyFont="1" applyFill="1" applyBorder="1" applyAlignment="1">
      <alignment horizontal="center" vertical="center" wrapText="1"/>
    </xf>
    <xf numFmtId="165" fontId="31" fillId="9" borderId="1" xfId="4" applyNumberFormat="1" applyFont="1" applyFill="1" applyBorder="1" applyAlignment="1">
      <alignment horizontal="center" vertical="center" wrapText="1"/>
    </xf>
    <xf numFmtId="4" fontId="17" fillId="9" borderId="1" xfId="4" applyNumberFormat="1" applyFont="1" applyFill="1" applyBorder="1" applyAlignment="1">
      <alignment horizontal="center"/>
    </xf>
    <xf numFmtId="2" fontId="31" fillId="9" borderId="1" xfId="4" applyNumberFormat="1" applyFont="1" applyFill="1" applyBorder="1" applyAlignment="1">
      <alignment horizontal="center"/>
    </xf>
    <xf numFmtId="0" fontId="31" fillId="9" borderId="1" xfId="4" applyFont="1" applyFill="1" applyBorder="1"/>
    <xf numFmtId="0" fontId="53" fillId="9" borderId="1" xfId="4" applyFont="1" applyFill="1" applyBorder="1"/>
    <xf numFmtId="165" fontId="31" fillId="9" borderId="1" xfId="4" applyNumberFormat="1" applyFont="1" applyFill="1" applyBorder="1" applyAlignment="1">
      <alignment horizontal="center"/>
    </xf>
    <xf numFmtId="2" fontId="65" fillId="9" borderId="1" xfId="4" applyNumberFormat="1" applyFont="1" applyFill="1" applyBorder="1" applyAlignment="1">
      <alignment horizontal="center"/>
    </xf>
    <xf numFmtId="166" fontId="17" fillId="9" borderId="1" xfId="4" applyNumberFormat="1" applyFont="1" applyFill="1" applyBorder="1" applyAlignment="1">
      <alignment horizontal="center"/>
    </xf>
    <xf numFmtId="0" fontId="66" fillId="9" borderId="1" xfId="4" applyFont="1" applyFill="1" applyBorder="1"/>
    <xf numFmtId="165" fontId="17" fillId="9" borderId="1" xfId="4" applyNumberFormat="1" applyFont="1" applyFill="1" applyBorder="1" applyAlignment="1">
      <alignment horizontal="center"/>
    </xf>
    <xf numFmtId="166" fontId="31" fillId="9" borderId="1" xfId="4" applyNumberFormat="1" applyFont="1" applyFill="1" applyBorder="1" applyAlignment="1">
      <alignment horizontal="left"/>
    </xf>
    <xf numFmtId="165" fontId="66" fillId="9" borderId="1" xfId="4" applyNumberFormat="1" applyFont="1" applyFill="1" applyBorder="1" applyAlignment="1">
      <alignment horizontal="center"/>
    </xf>
    <xf numFmtId="4" fontId="31" fillId="9" borderId="1" xfId="4" applyNumberFormat="1" applyFont="1" applyFill="1" applyBorder="1" applyAlignment="1">
      <alignment horizontal="center"/>
    </xf>
    <xf numFmtId="165" fontId="17" fillId="9" borderId="1" xfId="4" applyNumberFormat="1" applyFont="1" applyFill="1" applyBorder="1" applyAlignment="1">
      <alignment horizontal="right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2" fontId="31" fillId="0" borderId="1" xfId="0" applyNumberFormat="1" applyFont="1" applyBorder="1" applyAlignment="1">
      <alignment horizontal="center"/>
    </xf>
    <xf numFmtId="2" fontId="31" fillId="9" borderId="1" xfId="4" applyNumberFormat="1" applyFont="1" applyFill="1" applyBorder="1" applyAlignment="1">
      <alignment horizontal="right"/>
    </xf>
    <xf numFmtId="4" fontId="2" fillId="9" borderId="0" xfId="4" applyNumberFormat="1" applyFont="1" applyFill="1" applyBorder="1"/>
    <xf numFmtId="2" fontId="9" fillId="9" borderId="0" xfId="4" applyNumberFormat="1" applyFont="1" applyFill="1" applyBorder="1" applyAlignment="1">
      <alignment horizontal="center"/>
    </xf>
    <xf numFmtId="0" fontId="9" fillId="9" borderId="0" xfId="4" applyFont="1" applyFill="1" applyAlignment="1">
      <alignment horizontal="center"/>
    </xf>
    <xf numFmtId="1" fontId="9" fillId="9" borderId="0" xfId="4" applyNumberFormat="1" applyFont="1" applyFill="1" applyBorder="1"/>
    <xf numFmtId="4" fontId="9" fillId="9" borderId="0" xfId="4" applyNumberFormat="1" applyFont="1" applyFill="1" applyBorder="1"/>
    <xf numFmtId="1" fontId="9" fillId="9" borderId="1" xfId="4" applyNumberFormat="1" applyFont="1" applyFill="1" applyBorder="1" applyAlignment="1">
      <alignment vertical="center" wrapText="1"/>
    </xf>
    <xf numFmtId="0" fontId="2" fillId="9" borderId="1" xfId="4" applyFont="1" applyFill="1" applyBorder="1" applyAlignment="1">
      <alignment horizontal="center"/>
    </xf>
    <xf numFmtId="2" fontId="63" fillId="9" borderId="1" xfId="4" applyNumberFormat="1" applyFont="1" applyFill="1" applyBorder="1" applyAlignment="1">
      <alignment horizontal="center" vertical="center" wrapText="1"/>
    </xf>
    <xf numFmtId="0" fontId="52" fillId="9" borderId="1" xfId="0" applyFont="1" applyFill="1" applyBorder="1"/>
    <xf numFmtId="0" fontId="64" fillId="9" borderId="1" xfId="0" applyFont="1" applyFill="1" applyBorder="1"/>
    <xf numFmtId="166" fontId="9" fillId="9" borderId="1" xfId="0" applyNumberFormat="1" applyFont="1" applyFill="1" applyBorder="1" applyAlignment="1">
      <alignment horizontal="left"/>
    </xf>
    <xf numFmtId="0" fontId="9" fillId="9" borderId="1" xfId="4" applyFont="1" applyFill="1" applyBorder="1" applyAlignment="1">
      <alignment horizontal="left"/>
    </xf>
    <xf numFmtId="0" fontId="60" fillId="9" borderId="1" xfId="0" applyFont="1" applyFill="1" applyBorder="1"/>
    <xf numFmtId="166" fontId="52" fillId="9" borderId="1" xfId="0" applyNumberFormat="1" applyFont="1" applyFill="1" applyBorder="1" applyAlignment="1">
      <alignment horizontal="left"/>
    </xf>
    <xf numFmtId="1" fontId="2" fillId="9" borderId="1" xfId="4" applyNumberFormat="1" applyFont="1" applyFill="1" applyBorder="1" applyAlignment="1">
      <alignment horizontal="center"/>
    </xf>
    <xf numFmtId="166" fontId="60" fillId="9" borderId="1" xfId="0" applyNumberFormat="1" applyFont="1" applyFill="1" applyBorder="1" applyAlignment="1">
      <alignment horizontal="left"/>
    </xf>
    <xf numFmtId="166" fontId="9" fillId="9" borderId="1" xfId="0" applyNumberFormat="1" applyFont="1" applyFill="1" applyBorder="1"/>
    <xf numFmtId="0" fontId="9" fillId="0" borderId="1" xfId="0" applyFont="1" applyBorder="1" applyAlignment="1">
      <alignment wrapText="1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165" fontId="7" fillId="9" borderId="1" xfId="4" applyNumberFormat="1" applyFont="1" applyFill="1" applyBorder="1" applyAlignment="1">
      <alignment horizontal="center"/>
    </xf>
    <xf numFmtId="2" fontId="9" fillId="9" borderId="22" xfId="4" applyNumberFormat="1" applyFont="1" applyFill="1" applyBorder="1"/>
    <xf numFmtId="2" fontId="9" fillId="9" borderId="30" xfId="4" applyNumberFormat="1" applyFont="1" applyFill="1" applyBorder="1"/>
    <xf numFmtId="2" fontId="9" fillId="9" borderId="30" xfId="4" applyNumberFormat="1" applyFont="1" applyFill="1" applyBorder="1" applyAlignment="1">
      <alignment horizontal="center" vertical="center" wrapText="1"/>
    </xf>
    <xf numFmtId="0" fontId="2" fillId="9" borderId="4" xfId="4" applyFont="1" applyFill="1" applyBorder="1" applyAlignment="1">
      <alignment horizontal="center" vertical="center" wrapText="1"/>
    </xf>
    <xf numFmtId="0" fontId="9" fillId="9" borderId="4" xfId="4" applyFont="1" applyFill="1" applyBorder="1"/>
    <xf numFmtId="166" fontId="2" fillId="9" borderId="4" xfId="4" applyNumberFormat="1" applyFont="1" applyFill="1" applyBorder="1" applyAlignment="1">
      <alignment horizontal="center"/>
    </xf>
    <xf numFmtId="2" fontId="2" fillId="9" borderId="30" xfId="4" applyNumberFormat="1" applyFont="1" applyFill="1" applyBorder="1"/>
    <xf numFmtId="0" fontId="9" fillId="9" borderId="4" xfId="0" applyFont="1" applyFill="1" applyBorder="1" applyAlignment="1">
      <alignment horizontal="left"/>
    </xf>
    <xf numFmtId="0" fontId="64" fillId="0" borderId="4" xfId="0" applyFont="1" applyBorder="1" applyAlignment="1">
      <alignment horizontal="left" vertical="center"/>
    </xf>
    <xf numFmtId="0" fontId="9" fillId="0" borderId="4" xfId="0" applyFont="1" applyBorder="1"/>
    <xf numFmtId="0" fontId="64" fillId="0" borderId="4" xfId="0" applyFont="1" applyBorder="1"/>
    <xf numFmtId="1" fontId="9" fillId="9" borderId="21" xfId="4" applyNumberFormat="1" applyFont="1" applyFill="1" applyBorder="1" applyAlignment="1">
      <alignment horizontal="center"/>
    </xf>
    <xf numFmtId="165" fontId="2" fillId="9" borderId="21" xfId="4" applyNumberFormat="1" applyFont="1" applyFill="1" applyBorder="1" applyAlignment="1">
      <alignment horizontal="center"/>
    </xf>
    <xf numFmtId="165" fontId="9" fillId="9" borderId="21" xfId="4" applyNumberFormat="1" applyFont="1" applyFill="1" applyBorder="1" applyAlignment="1">
      <alignment horizontal="center"/>
    </xf>
    <xf numFmtId="165" fontId="2" fillId="9" borderId="21" xfId="4" applyNumberFormat="1" applyFont="1" applyFill="1" applyBorder="1" applyAlignment="1">
      <alignment horizontal="right"/>
    </xf>
    <xf numFmtId="2" fontId="2" fillId="9" borderId="23" xfId="4" applyNumberFormat="1" applyFont="1" applyFill="1" applyBorder="1"/>
    <xf numFmtId="0" fontId="31" fillId="9" borderId="1" xfId="4" applyFont="1" applyFill="1" applyBorder="1" applyAlignment="1">
      <alignment horizontal="center" vertical="center" wrapText="1"/>
    </xf>
    <xf numFmtId="0" fontId="17" fillId="9" borderId="3" xfId="4" applyFont="1" applyFill="1" applyBorder="1" applyAlignment="1">
      <alignment horizontal="center" vertical="center" wrapText="1"/>
    </xf>
    <xf numFmtId="2" fontId="31" fillId="9" borderId="30" xfId="4" applyNumberFormat="1" applyFont="1" applyFill="1" applyBorder="1"/>
    <xf numFmtId="0" fontId="17" fillId="9" borderId="4" xfId="4" applyFont="1" applyFill="1" applyBorder="1" applyAlignment="1">
      <alignment horizontal="center" vertical="center" wrapText="1"/>
    </xf>
    <xf numFmtId="0" fontId="31" fillId="9" borderId="4" xfId="4" applyFont="1" applyFill="1" applyBorder="1"/>
    <xf numFmtId="166" fontId="17" fillId="9" borderId="4" xfId="4" applyNumberFormat="1" applyFont="1" applyFill="1" applyBorder="1" applyAlignment="1">
      <alignment horizontal="center"/>
    </xf>
    <xf numFmtId="0" fontId="31" fillId="9" borderId="4" xfId="0" applyFont="1" applyFill="1" applyBorder="1" applyAlignment="1">
      <alignment horizontal="left"/>
    </xf>
    <xf numFmtId="166" fontId="17" fillId="9" borderId="4" xfId="0" applyNumberFormat="1" applyFont="1" applyFill="1" applyBorder="1" applyAlignment="1">
      <alignment horizontal="center"/>
    </xf>
    <xf numFmtId="0" fontId="31" fillId="0" borderId="4" xfId="0" applyFont="1" applyBorder="1"/>
    <xf numFmtId="1" fontId="31" fillId="9" borderId="21" xfId="4" applyNumberFormat="1" applyFont="1" applyFill="1" applyBorder="1" applyAlignment="1">
      <alignment horizontal="center"/>
    </xf>
    <xf numFmtId="165" fontId="17" fillId="9" borderId="21" xfId="4" applyNumberFormat="1" applyFont="1" applyFill="1" applyBorder="1" applyAlignment="1">
      <alignment horizontal="center"/>
    </xf>
    <xf numFmtId="165" fontId="31" fillId="9" borderId="21" xfId="4" applyNumberFormat="1" applyFont="1" applyFill="1" applyBorder="1" applyAlignment="1">
      <alignment horizontal="center"/>
    </xf>
    <xf numFmtId="165" fontId="17" fillId="9" borderId="21" xfId="4" applyNumberFormat="1" applyFont="1" applyFill="1" applyBorder="1" applyAlignment="1">
      <alignment horizontal="right"/>
    </xf>
    <xf numFmtId="2" fontId="31" fillId="9" borderId="23" xfId="4" applyNumberFormat="1" applyFont="1" applyFill="1" applyBorder="1"/>
    <xf numFmtId="0" fontId="31" fillId="9" borderId="51" xfId="4" applyFont="1" applyFill="1" applyBorder="1" applyAlignment="1">
      <alignment horizontal="center"/>
    </xf>
    <xf numFmtId="2" fontId="31" fillId="9" borderId="34" xfId="4" applyNumberFormat="1" applyFont="1" applyFill="1" applyBorder="1"/>
    <xf numFmtId="0" fontId="9" fillId="9" borderId="1" xfId="4" applyFont="1" applyFill="1" applyBorder="1" applyAlignment="1">
      <alignment horizontal="center" vertical="center" wrapText="1"/>
    </xf>
    <xf numFmtId="166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3" xfId="4" applyFont="1" applyFill="1" applyBorder="1" applyAlignment="1">
      <alignment horizontal="center" vertical="center" wrapText="1"/>
    </xf>
    <xf numFmtId="0" fontId="2" fillId="9" borderId="4" xfId="4" applyFont="1" applyFill="1" applyBorder="1" applyAlignment="1">
      <alignment horizontal="center"/>
    </xf>
    <xf numFmtId="166" fontId="9" fillId="9" borderId="4" xfId="0" applyNumberFormat="1" applyFont="1" applyFill="1" applyBorder="1" applyAlignment="1">
      <alignment horizontal="left"/>
    </xf>
    <xf numFmtId="166" fontId="9" fillId="9" borderId="4" xfId="0" applyNumberFormat="1" applyFont="1" applyFill="1" applyBorder="1"/>
    <xf numFmtId="0" fontId="7" fillId="0" borderId="4" xfId="0" applyFont="1" applyBorder="1"/>
    <xf numFmtId="0" fontId="9" fillId="9" borderId="59" xfId="4" applyFont="1" applyFill="1" applyBorder="1" applyAlignment="1">
      <alignment horizontal="center"/>
    </xf>
    <xf numFmtId="0" fontId="9" fillId="9" borderId="51" xfId="4" applyFont="1" applyFill="1" applyBorder="1" applyAlignment="1">
      <alignment horizontal="center"/>
    </xf>
    <xf numFmtId="2" fontId="9" fillId="9" borderId="34" xfId="4" applyNumberFormat="1" applyFont="1" applyFill="1" applyBorder="1"/>
    <xf numFmtId="0" fontId="5" fillId="3" borderId="28" xfId="0" applyFont="1" applyFill="1" applyBorder="1" applyAlignment="1">
      <alignment horizontal="center"/>
    </xf>
    <xf numFmtId="2" fontId="5" fillId="3" borderId="28" xfId="0" applyNumberFormat="1" applyFont="1" applyFill="1" applyBorder="1" applyAlignment="1" applyProtection="1">
      <alignment horizontal="right"/>
      <protection locked="0"/>
    </xf>
    <xf numFmtId="0" fontId="5" fillId="3" borderId="20" xfId="0" applyFont="1" applyFill="1" applyBorder="1" applyAlignment="1">
      <alignment horizontal="center"/>
    </xf>
    <xf numFmtId="1" fontId="5" fillId="3" borderId="20" xfId="0" applyNumberFormat="1" applyFont="1" applyFill="1" applyBorder="1" applyAlignment="1">
      <alignment horizontal="center"/>
    </xf>
    <xf numFmtId="1" fontId="5" fillId="3" borderId="34" xfId="0" applyNumberFormat="1" applyFont="1" applyFill="1" applyBorder="1" applyAlignment="1">
      <alignment horizontal="center"/>
    </xf>
    <xf numFmtId="0" fontId="5" fillId="3" borderId="33" xfId="0" applyFont="1" applyFill="1" applyBorder="1" applyAlignment="1">
      <alignment horizontal="left"/>
    </xf>
    <xf numFmtId="165" fontId="5" fillId="3" borderId="20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 applyProtection="1">
      <protection locked="0"/>
    </xf>
    <xf numFmtId="2" fontId="3" fillId="9" borderId="0" xfId="0" applyNumberFormat="1" applyFont="1" applyFill="1" applyAlignment="1">
      <alignment horizontal="right"/>
    </xf>
    <xf numFmtId="2" fontId="5" fillId="9" borderId="25" xfId="0" applyNumberFormat="1" applyFont="1" applyFill="1" applyBorder="1" applyAlignment="1">
      <alignment horizontal="right"/>
    </xf>
    <xf numFmtId="2" fontId="5" fillId="9" borderId="3" xfId="0" applyNumberFormat="1" applyFont="1" applyFill="1" applyBorder="1" applyAlignment="1">
      <alignment horizontal="right"/>
    </xf>
    <xf numFmtId="2" fontId="5" fillId="9" borderId="4" xfId="0" applyNumberFormat="1" applyFont="1" applyFill="1" applyBorder="1" applyAlignment="1">
      <alignment horizontal="right"/>
    </xf>
    <xf numFmtId="2" fontId="3" fillId="9" borderId="30" xfId="0" applyNumberFormat="1" applyFont="1" applyFill="1" applyBorder="1" applyAlignment="1">
      <alignment horizontal="right"/>
    </xf>
    <xf numFmtId="2" fontId="3" fillId="9" borderId="30" xfId="0" applyNumberFormat="1" applyFont="1" applyFill="1" applyBorder="1" applyAlignment="1" applyProtection="1">
      <alignment horizontal="right"/>
      <protection locked="0"/>
    </xf>
    <xf numFmtId="2" fontId="5" fillId="9" borderId="23" xfId="0" applyNumberFormat="1" applyFont="1" applyFill="1" applyBorder="1" applyAlignment="1">
      <alignment horizontal="right"/>
    </xf>
    <xf numFmtId="2" fontId="5" fillId="9" borderId="1" xfId="0" applyNumberFormat="1" applyFont="1" applyFill="1" applyBorder="1" applyAlignment="1">
      <alignment horizontal="right"/>
    </xf>
    <xf numFmtId="2" fontId="5" fillId="9" borderId="20" xfId="0" applyNumberFormat="1" applyFont="1" applyFill="1" applyBorder="1" applyAlignment="1">
      <alignment horizontal="right"/>
    </xf>
    <xf numFmtId="2" fontId="5" fillId="9" borderId="1" xfId="0" applyNumberFormat="1" applyFont="1" applyFill="1" applyBorder="1" applyAlignment="1" applyProtection="1">
      <alignment horizontal="right"/>
      <protection locked="0"/>
    </xf>
    <xf numFmtId="2" fontId="5" fillId="9" borderId="23" xfId="0" applyNumberFormat="1" applyFont="1" applyFill="1" applyBorder="1" applyAlignment="1" applyProtection="1">
      <alignment horizontal="right"/>
      <protection locked="0"/>
    </xf>
    <xf numFmtId="2" fontId="5" fillId="9" borderId="0" xfId="0" applyNumberFormat="1" applyFont="1" applyFill="1" applyAlignment="1">
      <alignment horizontal="right"/>
    </xf>
    <xf numFmtId="165" fontId="5" fillId="9" borderId="1" xfId="0" applyNumberFormat="1" applyFont="1" applyFill="1" applyBorder="1" applyAlignment="1" applyProtection="1">
      <alignment horizontal="right"/>
      <protection locked="0"/>
    </xf>
    <xf numFmtId="0" fontId="5" fillId="9" borderId="0" xfId="0" applyFont="1" applyFill="1" applyBorder="1" applyAlignment="1">
      <alignment horizontal="center" vertical="top" wrapText="1"/>
    </xf>
    <xf numFmtId="165" fontId="3" fillId="3" borderId="0" xfId="0" applyNumberFormat="1" applyFont="1" applyFill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/>
    <xf numFmtId="165" fontId="5" fillId="3" borderId="28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 applyProtection="1">
      <alignment horizontal="center"/>
      <protection locked="0"/>
    </xf>
    <xf numFmtId="165" fontId="5" fillId="3" borderId="1" xfId="0" applyNumberFormat="1" applyFont="1" applyFill="1" applyBorder="1" applyAlignment="1" applyProtection="1">
      <alignment horizontal="center"/>
      <protection locked="0"/>
    </xf>
    <xf numFmtId="165" fontId="5" fillId="3" borderId="6" xfId="0" applyNumberFormat="1" applyFont="1" applyFill="1" applyBorder="1" applyAlignment="1"/>
    <xf numFmtId="165" fontId="55" fillId="3" borderId="1" xfId="0" applyNumberFormat="1" applyFont="1" applyFill="1" applyBorder="1" applyAlignment="1" applyProtection="1">
      <alignment horizontal="center"/>
      <protection locked="0"/>
    </xf>
    <xf numFmtId="165" fontId="3" fillId="3" borderId="1" xfId="0" applyNumberFormat="1" applyFont="1" applyFill="1" applyBorder="1" applyAlignment="1"/>
    <xf numFmtId="2" fontId="3" fillId="9" borderId="0" xfId="0" applyNumberFormat="1" applyFont="1" applyFill="1" applyBorder="1"/>
    <xf numFmtId="2" fontId="3" fillId="9" borderId="0" xfId="0" applyNumberFormat="1" applyFont="1" applyFill="1"/>
    <xf numFmtId="0" fontId="3" fillId="9" borderId="0" xfId="0" applyFont="1" applyFill="1"/>
    <xf numFmtId="0" fontId="5" fillId="9" borderId="5" xfId="0" applyFont="1" applyFill="1" applyBorder="1" applyAlignment="1">
      <alignment horizontal="left" shrinkToFit="1"/>
    </xf>
    <xf numFmtId="0" fontId="5" fillId="9" borderId="5" xfId="0" applyFont="1" applyFill="1" applyBorder="1" applyAlignment="1">
      <alignment horizontal="center" wrapText="1"/>
    </xf>
    <xf numFmtId="1" fontId="5" fillId="9" borderId="12" xfId="0" applyNumberFormat="1" applyFont="1" applyFill="1" applyBorder="1" applyAlignment="1">
      <alignment horizontal="center" wrapText="1"/>
    </xf>
    <xf numFmtId="0" fontId="5" fillId="9" borderId="12" xfId="0" applyFont="1" applyFill="1" applyBorder="1" applyAlignment="1">
      <alignment horizontal="center" wrapText="1"/>
    </xf>
    <xf numFmtId="2" fontId="5" fillId="9" borderId="0" xfId="0" applyNumberFormat="1" applyFont="1" applyFill="1" applyBorder="1" applyAlignment="1">
      <alignment horizontal="right" vertical="top" wrapText="1"/>
    </xf>
    <xf numFmtId="0" fontId="5" fillId="9" borderId="9" xfId="0" applyFont="1" applyFill="1" applyBorder="1" applyAlignment="1">
      <alignment horizontal="left" vertical="top" wrapText="1"/>
    </xf>
    <xf numFmtId="0" fontId="55" fillId="9" borderId="13" xfId="0" applyFont="1" applyFill="1" applyBorder="1" applyAlignment="1">
      <alignment horizontal="center"/>
    </xf>
    <xf numFmtId="0" fontId="55" fillId="9" borderId="0" xfId="0" applyFont="1" applyFill="1"/>
    <xf numFmtId="0" fontId="55" fillId="9" borderId="25" xfId="0" applyFont="1" applyFill="1" applyBorder="1" applyAlignment="1">
      <alignment horizontal="right" shrinkToFit="1"/>
    </xf>
    <xf numFmtId="0" fontId="62" fillId="9" borderId="8" xfId="0" applyFont="1" applyFill="1" applyBorder="1" applyAlignment="1"/>
    <xf numFmtId="2" fontId="55" fillId="9" borderId="0" xfId="0" applyNumberFormat="1" applyFont="1" applyFill="1" applyBorder="1"/>
    <xf numFmtId="2" fontId="55" fillId="9" borderId="0" xfId="0" applyNumberFormat="1" applyFont="1" applyFill="1"/>
    <xf numFmtId="0" fontId="5" fillId="9" borderId="12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2" fontId="5" fillId="9" borderId="12" xfId="0" applyNumberFormat="1" applyFont="1" applyFill="1" applyBorder="1" applyAlignment="1">
      <alignment horizontal="center" vertical="center" wrapText="1"/>
    </xf>
    <xf numFmtId="2" fontId="5" fillId="9" borderId="0" xfId="0" applyNumberFormat="1" applyFont="1" applyFill="1" applyBorder="1" applyAlignment="1">
      <alignment horizontal="center" vertical="center"/>
    </xf>
    <xf numFmtId="2" fontId="5" fillId="9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2" xfId="0" applyFont="1" applyFill="1" applyBorder="1" applyAlignment="1">
      <alignment horizontal="center" wrapText="1"/>
    </xf>
    <xf numFmtId="0" fontId="5" fillId="9" borderId="3" xfId="0" applyFont="1" applyFill="1" applyBorder="1" applyAlignment="1">
      <alignment horizontal="center" wrapText="1"/>
    </xf>
    <xf numFmtId="1" fontId="5" fillId="9" borderId="59" xfId="0" applyNumberFormat="1" applyFont="1" applyFill="1" applyBorder="1" applyAlignment="1">
      <alignment horizontal="center" wrapText="1"/>
    </xf>
    <xf numFmtId="0" fontId="5" fillId="9" borderId="22" xfId="0" applyFont="1" applyFill="1" applyBorder="1" applyAlignment="1">
      <alignment horizontal="center" wrapText="1"/>
    </xf>
    <xf numFmtId="0" fontId="5" fillId="9" borderId="4" xfId="0" applyFont="1" applyFill="1" applyBorder="1" applyAlignment="1">
      <alignment vertical="top" shrinkToFit="1"/>
    </xf>
    <xf numFmtId="2" fontId="5" fillId="9" borderId="51" xfId="0" applyNumberFormat="1" applyFont="1" applyFill="1" applyBorder="1" applyAlignment="1">
      <alignment horizontal="right" vertical="top" wrapText="1"/>
    </xf>
    <xf numFmtId="0" fontId="5" fillId="9" borderId="4" xfId="0" applyFont="1" applyFill="1" applyBorder="1" applyAlignment="1">
      <alignment vertical="top" wrapText="1"/>
    </xf>
    <xf numFmtId="2" fontId="5" fillId="9" borderId="51" xfId="0" applyNumberFormat="1" applyFont="1" applyFill="1" applyBorder="1" applyAlignment="1">
      <alignment horizontal="center" vertical="top" wrapText="1"/>
    </xf>
    <xf numFmtId="0" fontId="5" fillId="9" borderId="4" xfId="0" applyFont="1" applyFill="1" applyBorder="1" applyAlignment="1">
      <alignment horizontal="left" vertical="top" wrapText="1"/>
    </xf>
    <xf numFmtId="2" fontId="5" fillId="9" borderId="30" xfId="1" applyNumberFormat="1" applyFont="1" applyFill="1" applyBorder="1" applyAlignment="1" applyProtection="1">
      <alignment horizontal="right" vertical="top" wrapText="1"/>
    </xf>
    <xf numFmtId="2" fontId="5" fillId="9" borderId="0" xfId="0" applyNumberFormat="1" applyFont="1" applyFill="1" applyBorder="1" applyAlignment="1">
      <alignment horizontal="center" vertical="top" wrapText="1"/>
    </xf>
    <xf numFmtId="2" fontId="5" fillId="9" borderId="18" xfId="0" applyNumberFormat="1" applyFont="1" applyFill="1" applyBorder="1" applyAlignment="1">
      <alignment horizontal="right" vertical="top" wrapText="1"/>
    </xf>
    <xf numFmtId="0" fontId="5" fillId="9" borderId="13" xfId="0" applyFont="1" applyFill="1" applyBorder="1" applyAlignment="1">
      <alignment horizontal="left" vertical="top" wrapText="1"/>
    </xf>
    <xf numFmtId="0" fontId="5" fillId="9" borderId="25" xfId="0" applyFont="1" applyFill="1" applyBorder="1" applyAlignment="1">
      <alignment horizontal="center" vertical="top" wrapText="1"/>
    </xf>
    <xf numFmtId="2" fontId="5" fillId="9" borderId="25" xfId="0" applyNumberFormat="1" applyFont="1" applyFill="1" applyBorder="1" applyAlignment="1">
      <alignment horizontal="center" vertical="top" wrapText="1"/>
    </xf>
    <xf numFmtId="2" fontId="5" fillId="9" borderId="8" xfId="0" applyNumberFormat="1" applyFont="1" applyFill="1" applyBorder="1" applyAlignment="1">
      <alignment horizontal="right" vertical="top" wrapText="1"/>
    </xf>
    <xf numFmtId="0" fontId="5" fillId="9" borderId="9" xfId="0" applyFont="1" applyFill="1" applyBorder="1" applyAlignment="1">
      <alignment vertical="top" wrapText="1"/>
    </xf>
    <xf numFmtId="0" fontId="5" fillId="9" borderId="0" xfId="0" applyFont="1" applyFill="1" applyBorder="1" applyAlignment="1">
      <alignment vertical="top" wrapText="1"/>
    </xf>
    <xf numFmtId="2" fontId="5" fillId="9" borderId="0" xfId="0" applyNumberFormat="1" applyFont="1" applyFill="1" applyBorder="1" applyAlignment="1">
      <alignment vertical="top" wrapText="1"/>
    </xf>
    <xf numFmtId="0" fontId="5" fillId="9" borderId="18" xfId="0" applyFont="1" applyFill="1" applyBorder="1" applyAlignment="1">
      <alignment horizontal="left" vertical="top" wrapText="1"/>
    </xf>
    <xf numFmtId="0" fontId="5" fillId="9" borderId="5" xfId="0" applyFont="1" applyFill="1" applyBorder="1" applyAlignment="1">
      <alignment horizontal="center" vertical="center" wrapText="1"/>
    </xf>
    <xf numFmtId="2" fontId="5" fillId="9" borderId="5" xfId="0" applyNumberFormat="1" applyFont="1" applyFill="1" applyBorder="1" applyAlignment="1">
      <alignment horizontal="center" vertical="center" wrapText="1"/>
    </xf>
    <xf numFmtId="0" fontId="55" fillId="9" borderId="0" xfId="0" applyFont="1" applyFill="1" applyBorder="1" applyAlignment="1">
      <alignment horizontal="left" vertical="top" wrapText="1"/>
    </xf>
    <xf numFmtId="2" fontId="33" fillId="9" borderId="0" xfId="0" applyNumberFormat="1" applyFont="1" applyFill="1" applyBorder="1"/>
    <xf numFmtId="0" fontId="5" fillId="9" borderId="0" xfId="0" applyFont="1" applyFill="1" applyAlignment="1">
      <alignment horizontal="left" shrinkToFit="1"/>
    </xf>
    <xf numFmtId="2" fontId="3" fillId="7" borderId="30" xfId="0" applyNumberFormat="1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center" vertical="top" wrapText="1"/>
    </xf>
    <xf numFmtId="2" fontId="5" fillId="7" borderId="30" xfId="0" applyNumberFormat="1" applyFont="1" applyFill="1" applyBorder="1" applyAlignment="1">
      <alignment horizontal="right" vertical="top" wrapText="1"/>
    </xf>
    <xf numFmtId="0" fontId="67" fillId="0" borderId="0" xfId="0" applyFont="1" applyBorder="1" applyAlignment="1">
      <alignment horizontal="center"/>
    </xf>
    <xf numFmtId="0" fontId="68" fillId="0" borderId="0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4" fillId="9" borderId="0" xfId="0" applyFont="1" applyFill="1" applyBorder="1" applyAlignment="1">
      <alignment horizontal="center" vertical="top" wrapText="1"/>
    </xf>
    <xf numFmtId="0" fontId="56" fillId="9" borderId="0" xfId="0" applyFont="1" applyFill="1" applyBorder="1" applyAlignment="1">
      <alignment horizontal="center" vertical="top" wrapText="1"/>
    </xf>
    <xf numFmtId="2" fontId="54" fillId="9" borderId="0" xfId="0" applyNumberFormat="1" applyFont="1" applyFill="1" applyBorder="1" applyAlignment="1">
      <alignment horizontal="center"/>
    </xf>
    <xf numFmtId="0" fontId="59" fillId="3" borderId="0" xfId="0" applyFont="1" applyFill="1" applyAlignment="1">
      <alignment horizontal="center"/>
    </xf>
    <xf numFmtId="1" fontId="59" fillId="3" borderId="0" xfId="0" applyNumberFormat="1" applyFont="1" applyFill="1" applyBorder="1" applyAlignment="1">
      <alignment horizontal="center"/>
    </xf>
    <xf numFmtId="0" fontId="70" fillId="0" borderId="0" xfId="0" applyFont="1"/>
    <xf numFmtId="0" fontId="71" fillId="0" borderId="20" xfId="0" applyFont="1" applyBorder="1" applyAlignment="1">
      <alignment horizontal="center"/>
    </xf>
    <xf numFmtId="0" fontId="70" fillId="0" borderId="20" xfId="0" applyFont="1" applyBorder="1"/>
    <xf numFmtId="0" fontId="70" fillId="0" borderId="6" xfId="0" applyFont="1" applyBorder="1" applyAlignment="1">
      <alignment horizontal="center"/>
    </xf>
    <xf numFmtId="0" fontId="70" fillId="0" borderId="6" xfId="0" applyFont="1" applyBorder="1"/>
    <xf numFmtId="0" fontId="70" fillId="0" borderId="2" xfId="0" applyFont="1" applyBorder="1"/>
    <xf numFmtId="0" fontId="71" fillId="0" borderId="4" xfId="0" applyFont="1" applyBorder="1"/>
    <xf numFmtId="0" fontId="70" fillId="0" borderId="1" xfId="0" applyFont="1" applyBorder="1"/>
    <xf numFmtId="0" fontId="70" fillId="0" borderId="1" xfId="0" applyFont="1" applyBorder="1" applyAlignment="1">
      <alignment horizontal="center"/>
    </xf>
    <xf numFmtId="0" fontId="70" fillId="0" borderId="30" xfId="0" applyFont="1" applyBorder="1"/>
    <xf numFmtId="0" fontId="70" fillId="0" borderId="29" xfId="0" applyFont="1" applyBorder="1"/>
    <xf numFmtId="0" fontId="70" fillId="0" borderId="21" xfId="0" applyFont="1" applyBorder="1"/>
    <xf numFmtId="0" fontId="70" fillId="0" borderId="23" xfId="0" applyFont="1" applyBorder="1"/>
    <xf numFmtId="0" fontId="70" fillId="0" borderId="4" xfId="0" applyFont="1" applyBorder="1"/>
    <xf numFmtId="0" fontId="71" fillId="0" borderId="4" xfId="0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71" fillId="0" borderId="29" xfId="0" applyFont="1" applyBorder="1"/>
    <xf numFmtId="4" fontId="72" fillId="19" borderId="44" xfId="0" applyNumberFormat="1" applyFont="1" applyFill="1" applyBorder="1" applyAlignment="1">
      <alignment horizontal="center" vertical="center"/>
    </xf>
    <xf numFmtId="4" fontId="72" fillId="19" borderId="7" xfId="0" applyNumberFormat="1" applyFont="1" applyFill="1" applyBorder="1" applyAlignment="1">
      <alignment horizontal="center" vertical="center" wrapText="1"/>
    </xf>
    <xf numFmtId="4" fontId="72" fillId="19" borderId="36" xfId="0" applyNumberFormat="1" applyFont="1" applyFill="1" applyBorder="1" applyAlignment="1">
      <alignment horizontal="center" vertical="center"/>
    </xf>
    <xf numFmtId="4" fontId="72" fillId="0" borderId="4" xfId="0" applyNumberFormat="1" applyFont="1" applyBorder="1"/>
    <xf numFmtId="4" fontId="72" fillId="0" borderId="1" xfId="0" applyNumberFormat="1" applyFont="1" applyBorder="1" applyAlignment="1">
      <alignment horizontal="center"/>
    </xf>
    <xf numFmtId="4" fontId="72" fillId="0" borderId="30" xfId="0" applyNumberFormat="1" applyFont="1" applyBorder="1" applyAlignment="1">
      <alignment horizontal="center"/>
    </xf>
    <xf numFmtId="4" fontId="73" fillId="0" borderId="4" xfId="0" applyNumberFormat="1" applyFont="1" applyBorder="1" applyAlignment="1">
      <alignment horizontal="left" indent="1"/>
    </xf>
    <xf numFmtId="4" fontId="73" fillId="0" borderId="1" xfId="0" applyNumberFormat="1" applyFont="1" applyBorder="1" applyAlignment="1">
      <alignment horizontal="center"/>
    </xf>
    <xf numFmtId="4" fontId="73" fillId="0" borderId="3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55" fillId="3" borderId="28" xfId="0" applyFont="1" applyFill="1" applyBorder="1"/>
    <xf numFmtId="2" fontId="55" fillId="9" borderId="20" xfId="0" applyNumberFormat="1" applyFont="1" applyFill="1" applyBorder="1" applyAlignment="1">
      <alignment horizontal="right"/>
    </xf>
    <xf numFmtId="1" fontId="55" fillId="3" borderId="0" xfId="0" applyNumberFormat="1" applyFont="1" applyFill="1" applyBorder="1" applyAlignment="1">
      <alignment horizontal="center"/>
    </xf>
    <xf numFmtId="2" fontId="55" fillId="3" borderId="0" xfId="0" applyNumberFormat="1" applyFont="1" applyFill="1" applyBorder="1"/>
    <xf numFmtId="2" fontId="55" fillId="3" borderId="0" xfId="0" applyNumberFormat="1" applyFont="1" applyFill="1"/>
    <xf numFmtId="0" fontId="74" fillId="20" borderId="2" xfId="0" applyFont="1" applyFill="1" applyBorder="1" applyAlignment="1">
      <alignment wrapText="1"/>
    </xf>
    <xf numFmtId="0" fontId="74" fillId="20" borderId="3" xfId="0" applyFont="1" applyFill="1" applyBorder="1" applyAlignment="1">
      <alignment wrapText="1"/>
    </xf>
    <xf numFmtId="0" fontId="74" fillId="20" borderId="3" xfId="0" applyFont="1" applyFill="1" applyBorder="1" applyAlignment="1">
      <alignment horizontal="center" wrapText="1"/>
    </xf>
    <xf numFmtId="2" fontId="74" fillId="20" borderId="3" xfId="0" applyNumberFormat="1" applyFont="1" applyFill="1" applyBorder="1" applyAlignment="1">
      <alignment horizontal="center" wrapText="1"/>
    </xf>
    <xf numFmtId="2" fontId="74" fillId="20" borderId="22" xfId="0" applyNumberFormat="1" applyFont="1" applyFill="1" applyBorder="1" applyAlignment="1">
      <alignment horizontal="center" wrapText="1"/>
    </xf>
    <xf numFmtId="0" fontId="74" fillId="20" borderId="4" xfId="0" applyFont="1" applyFill="1" applyBorder="1" applyAlignment="1">
      <alignment wrapText="1"/>
    </xf>
    <xf numFmtId="0" fontId="74" fillId="20" borderId="1" xfId="0" applyFont="1" applyFill="1" applyBorder="1" applyAlignment="1">
      <alignment wrapText="1"/>
    </xf>
    <xf numFmtId="0" fontId="74" fillId="20" borderId="1" xfId="0" applyFont="1" applyFill="1" applyBorder="1" applyAlignment="1">
      <alignment horizontal="center" wrapText="1"/>
    </xf>
    <xf numFmtId="2" fontId="74" fillId="20" borderId="1" xfId="0" applyNumberFormat="1" applyFont="1" applyFill="1" applyBorder="1" applyAlignment="1">
      <alignment horizontal="center" wrapText="1"/>
    </xf>
    <xf numFmtId="2" fontId="74" fillId="20" borderId="30" xfId="0" applyNumberFormat="1" applyFont="1" applyFill="1" applyBorder="1" applyAlignment="1">
      <alignment horizontal="center" wrapText="1"/>
    </xf>
    <xf numFmtId="0" fontId="74" fillId="20" borderId="29" xfId="0" applyFont="1" applyFill="1" applyBorder="1" applyAlignment="1">
      <alignment wrapText="1"/>
    </xf>
    <xf numFmtId="0" fontId="74" fillId="20" borderId="21" xfId="0" applyFont="1" applyFill="1" applyBorder="1" applyAlignment="1">
      <alignment wrapText="1"/>
    </xf>
    <xf numFmtId="0" fontId="74" fillId="20" borderId="21" xfId="0" applyFont="1" applyFill="1" applyBorder="1" applyAlignment="1">
      <alignment horizontal="center" wrapText="1"/>
    </xf>
    <xf numFmtId="2" fontId="74" fillId="20" borderId="21" xfId="0" applyNumberFormat="1" applyFont="1" applyFill="1" applyBorder="1" applyAlignment="1">
      <alignment horizontal="center" wrapText="1"/>
    </xf>
    <xf numFmtId="2" fontId="74" fillId="20" borderId="23" xfId="0" applyNumberFormat="1" applyFont="1" applyFill="1" applyBorder="1" applyAlignment="1">
      <alignment horizontal="center" wrapText="1"/>
    </xf>
    <xf numFmtId="0" fontId="54" fillId="20" borderId="0" xfId="0" applyFont="1" applyFill="1"/>
    <xf numFmtId="2" fontId="75" fillId="20" borderId="0" xfId="0" applyNumberFormat="1" applyFont="1" applyFill="1" applyAlignment="1">
      <alignment wrapText="1"/>
    </xf>
    <xf numFmtId="0" fontId="16" fillId="3" borderId="0" xfId="0" applyFont="1" applyFill="1" applyBorder="1" applyAlignment="1">
      <alignment horizontal="center" vertical="center"/>
    </xf>
    <xf numFmtId="2" fontId="16" fillId="3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/>
    </xf>
    <xf numFmtId="2" fontId="9" fillId="0" borderId="0" xfId="0" applyNumberFormat="1" applyFont="1" applyBorder="1" applyAlignment="1">
      <alignment horizontal="left"/>
    </xf>
    <xf numFmtId="2" fontId="5" fillId="9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14" fontId="5" fillId="3" borderId="0" xfId="0" applyNumberFormat="1" applyFont="1" applyFill="1" applyBorder="1" applyAlignment="1">
      <alignment horizontal="center" vertical="center"/>
    </xf>
    <xf numFmtId="0" fontId="76" fillId="0" borderId="4" xfId="0" applyFont="1" applyBorder="1" applyAlignment="1">
      <alignment horizontal="justify" vertical="top" shrinkToFit="1"/>
    </xf>
    <xf numFmtId="2" fontId="76" fillId="0" borderId="1" xfId="0" applyNumberFormat="1" applyFont="1" applyBorder="1" applyAlignment="1">
      <alignment horizontal="right" vertical="top" shrinkToFit="1"/>
    </xf>
    <xf numFmtId="165" fontId="76" fillId="0" borderId="1" xfId="0" applyNumberFormat="1" applyFont="1" applyBorder="1" applyAlignment="1">
      <alignment horizontal="center" vertical="top" shrinkToFit="1"/>
    </xf>
    <xf numFmtId="0" fontId="58" fillId="3" borderId="0" xfId="0" applyFont="1" applyFill="1" applyBorder="1" applyAlignment="1">
      <alignment shrinkToFit="1"/>
    </xf>
    <xf numFmtId="2" fontId="58" fillId="3" borderId="0" xfId="0" applyNumberFormat="1" applyFont="1" applyFill="1" applyBorder="1" applyAlignment="1">
      <alignment shrinkToFit="1"/>
    </xf>
    <xf numFmtId="165" fontId="58" fillId="3" borderId="0" xfId="0" applyNumberFormat="1" applyFont="1" applyFill="1" applyBorder="1" applyAlignment="1">
      <alignment shrinkToFit="1"/>
    </xf>
    <xf numFmtId="2" fontId="58" fillId="0" borderId="1" xfId="1" applyNumberFormat="1" applyFont="1" applyFill="1" applyBorder="1" applyAlignment="1" applyProtection="1">
      <alignment shrinkToFit="1"/>
    </xf>
    <xf numFmtId="2" fontId="58" fillId="3" borderId="1" xfId="0" applyNumberFormat="1" applyFont="1" applyFill="1" applyBorder="1" applyAlignment="1">
      <alignment shrinkToFit="1"/>
    </xf>
    <xf numFmtId="1" fontId="5" fillId="9" borderId="18" xfId="0" applyNumberFormat="1" applyFont="1" applyFill="1" applyBorder="1" applyAlignment="1">
      <alignment horizontal="center" vertical="top" wrapText="1"/>
    </xf>
    <xf numFmtId="0" fontId="5" fillId="9" borderId="0" xfId="0" applyFont="1" applyFill="1" applyAlignment="1">
      <alignment horizontal="center"/>
    </xf>
    <xf numFmtId="0" fontId="68" fillId="0" borderId="20" xfId="0" applyFont="1" applyBorder="1" applyAlignment="1">
      <alignment horizontal="center" vertical="top" wrapText="1"/>
    </xf>
    <xf numFmtId="2" fontId="68" fillId="0" borderId="1" xfId="0" applyNumberFormat="1" applyFont="1" applyBorder="1" applyAlignment="1">
      <alignment horizontal="right" vertical="top" shrinkToFit="1"/>
    </xf>
    <xf numFmtId="2" fontId="68" fillId="0" borderId="21" xfId="0" applyNumberFormat="1" applyFont="1" applyBorder="1" applyAlignment="1">
      <alignment horizontal="right" vertical="top" shrinkToFit="1"/>
    </xf>
    <xf numFmtId="0" fontId="54" fillId="0" borderId="2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shrinkToFit="1"/>
    </xf>
    <xf numFmtId="0" fontId="20" fillId="0" borderId="1" xfId="0" applyFont="1" applyBorder="1" applyAlignment="1">
      <alignment horizontal="justify" vertical="top" shrinkToFit="1"/>
    </xf>
    <xf numFmtId="0" fontId="76" fillId="0" borderId="1" xfId="0" applyFont="1" applyBorder="1" applyAlignment="1">
      <alignment horizontal="justify" vertical="top" shrinkToFit="1"/>
    </xf>
    <xf numFmtId="167" fontId="5" fillId="3" borderId="1" xfId="0" applyNumberFormat="1" applyFont="1" applyFill="1" applyBorder="1" applyAlignment="1"/>
    <xf numFmtId="0" fontId="0" fillId="9" borderId="0" xfId="0" applyFill="1" applyBorder="1"/>
    <xf numFmtId="0" fontId="2" fillId="9" borderId="1" xfId="4" applyFont="1" applyFill="1" applyBorder="1" applyAlignment="1">
      <alignment horizontal="center" vertical="center" wrapText="1"/>
    </xf>
    <xf numFmtId="166" fontId="17" fillId="9" borderId="1" xfId="4" applyNumberFormat="1" applyFont="1" applyFill="1" applyBorder="1" applyAlignment="1">
      <alignment horizontal="center"/>
    </xf>
    <xf numFmtId="166" fontId="2" fillId="9" borderId="1" xfId="4" applyNumberFormat="1" applyFont="1" applyFill="1" applyBorder="1" applyAlignment="1">
      <alignment horizontal="center"/>
    </xf>
    <xf numFmtId="2" fontId="5" fillId="12" borderId="86" xfId="0" applyNumberFormat="1" applyFont="1" applyFill="1" applyBorder="1" applyAlignment="1">
      <alignment vertical="top" wrapText="1"/>
    </xf>
    <xf numFmtId="2" fontId="5" fillId="12" borderId="78" xfId="0" applyNumberFormat="1" applyFont="1" applyFill="1" applyBorder="1" applyAlignment="1">
      <alignment vertical="top" wrapText="1"/>
    </xf>
    <xf numFmtId="0" fontId="9" fillId="9" borderId="1" xfId="0" applyFont="1" applyFill="1" applyBorder="1" applyAlignment="1">
      <alignment horizontal="left"/>
    </xf>
    <xf numFmtId="0" fontId="31" fillId="9" borderId="1" xfId="0" applyFont="1" applyFill="1" applyBorder="1" applyAlignment="1">
      <alignment horizontal="left"/>
    </xf>
    <xf numFmtId="166" fontId="17" fillId="9" borderId="1" xfId="0" applyNumberFormat="1" applyFont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/>
    <xf numFmtId="0" fontId="64" fillId="0" borderId="1" xfId="0" applyFont="1" applyBorder="1"/>
    <xf numFmtId="2" fontId="9" fillId="9" borderId="1" xfId="4" applyNumberFormat="1" applyFont="1" applyFill="1" applyBorder="1" applyAlignment="1">
      <alignment horizontal="right" vertical="center" wrapText="1"/>
    </xf>
    <xf numFmtId="2" fontId="63" fillId="9" borderId="1" xfId="4" applyNumberFormat="1" applyFont="1" applyFill="1" applyBorder="1" applyAlignment="1">
      <alignment horizontal="right"/>
    </xf>
    <xf numFmtId="2" fontId="60" fillId="9" borderId="1" xfId="4" applyNumberFormat="1" applyFont="1" applyFill="1" applyBorder="1" applyAlignment="1">
      <alignment horizontal="right"/>
    </xf>
    <xf numFmtId="1" fontId="2" fillId="21" borderId="0" xfId="4" applyNumberFormat="1" applyFont="1" applyFill="1" applyBorder="1"/>
    <xf numFmtId="0" fontId="9" fillId="21" borderId="0" xfId="4" applyFont="1" applyFill="1" applyAlignment="1">
      <alignment horizontal="left"/>
    </xf>
    <xf numFmtId="165" fontId="2" fillId="21" borderId="0" xfId="4" applyNumberFormat="1" applyFont="1" applyFill="1" applyBorder="1"/>
    <xf numFmtId="0" fontId="0" fillId="21" borderId="0" xfId="0" applyFill="1"/>
    <xf numFmtId="2" fontId="0" fillId="21" borderId="0" xfId="0" applyNumberFormat="1" applyFill="1"/>
    <xf numFmtId="1" fontId="17" fillId="21" borderId="0" xfId="4" applyNumberFormat="1" applyFont="1" applyFill="1" applyBorder="1"/>
    <xf numFmtId="0" fontId="31" fillId="21" borderId="0" xfId="4" applyFont="1" applyFill="1" applyAlignment="1">
      <alignment horizontal="left"/>
    </xf>
    <xf numFmtId="165" fontId="17" fillId="21" borderId="0" xfId="4" applyNumberFormat="1" applyFont="1" applyFill="1" applyBorder="1"/>
    <xf numFmtId="2" fontId="2" fillId="21" borderId="0" xfId="4" applyNumberFormat="1" applyFont="1" applyFill="1" applyBorder="1"/>
    <xf numFmtId="166" fontId="63" fillId="9" borderId="1" xfId="4" applyNumberFormat="1" applyFont="1" applyFill="1" applyBorder="1" applyAlignment="1">
      <alignment horizontal="center"/>
    </xf>
    <xf numFmtId="0" fontId="60" fillId="0" borderId="1" xfId="0" applyFont="1" applyBorder="1"/>
    <xf numFmtId="2" fontId="60" fillId="0" borderId="1" xfId="0" applyNumberFormat="1" applyFont="1" applyBorder="1"/>
    <xf numFmtId="166" fontId="63" fillId="9" borderId="1" xfId="4" applyNumberFormat="1" applyFont="1" applyFill="1" applyBorder="1" applyAlignment="1">
      <alignment horizontal="left"/>
    </xf>
    <xf numFmtId="2" fontId="66" fillId="9" borderId="1" xfId="4" applyNumberFormat="1" applyFont="1" applyFill="1" applyBorder="1" applyAlignment="1">
      <alignment horizontal="center"/>
    </xf>
    <xf numFmtId="165" fontId="65" fillId="9" borderId="1" xfId="4" applyNumberFormat="1" applyFont="1" applyFill="1" applyBorder="1" applyAlignment="1">
      <alignment horizontal="center"/>
    </xf>
    <xf numFmtId="1" fontId="66" fillId="9" borderId="1" xfId="4" applyNumberFormat="1" applyFont="1" applyFill="1" applyBorder="1" applyAlignment="1">
      <alignment horizontal="center"/>
    </xf>
    <xf numFmtId="2" fontId="0" fillId="21" borderId="1" xfId="0" applyNumberFormat="1" applyFill="1" applyBorder="1"/>
    <xf numFmtId="1" fontId="63" fillId="9" borderId="1" xfId="4" applyNumberFormat="1" applyFont="1" applyFill="1" applyBorder="1" applyAlignment="1">
      <alignment horizontal="center"/>
    </xf>
    <xf numFmtId="2" fontId="63" fillId="0" borderId="1" xfId="0" applyNumberFormat="1" applyFont="1" applyBorder="1"/>
    <xf numFmtId="2" fontId="60" fillId="9" borderId="1" xfId="4" applyNumberFormat="1" applyFont="1" applyFill="1" applyBorder="1" applyAlignment="1">
      <alignment horizontal="center"/>
    </xf>
    <xf numFmtId="1" fontId="60" fillId="9" borderId="1" xfId="4" applyNumberFormat="1" applyFont="1" applyFill="1" applyBorder="1" applyAlignment="1">
      <alignment horizontal="center"/>
    </xf>
    <xf numFmtId="2" fontId="5" fillId="21" borderId="4" xfId="0" applyNumberFormat="1" applyFont="1" applyFill="1" applyBorder="1" applyAlignment="1">
      <alignment horizontal="left"/>
    </xf>
    <xf numFmtId="2" fontId="5" fillId="21" borderId="30" xfId="0" applyNumberFormat="1" applyFont="1" applyFill="1" applyBorder="1" applyAlignment="1">
      <alignment horizontal="right"/>
    </xf>
    <xf numFmtId="1" fontId="5" fillId="21" borderId="0" xfId="0" applyNumberFormat="1" applyFont="1" applyFill="1" applyBorder="1" applyAlignment="1">
      <alignment horizontal="center"/>
    </xf>
    <xf numFmtId="1" fontId="58" fillId="21" borderId="0" xfId="0" applyNumberFormat="1" applyFont="1" applyFill="1" applyBorder="1" applyAlignment="1">
      <alignment horizontal="center"/>
    </xf>
    <xf numFmtId="2" fontId="54" fillId="21" borderId="0" xfId="0" applyNumberFormat="1" applyFont="1" applyFill="1" applyBorder="1"/>
    <xf numFmtId="2" fontId="54" fillId="21" borderId="0" xfId="0" applyNumberFormat="1" applyFont="1" applyFill="1"/>
    <xf numFmtId="0" fontId="5" fillId="21" borderId="0" xfId="0" applyFont="1" applyFill="1"/>
    <xf numFmtId="2" fontId="2" fillId="8" borderId="0" xfId="0" applyNumberFormat="1" applyFont="1" applyFill="1" applyBorder="1" applyAlignment="1">
      <alignment horizontal="center" vertical="center"/>
    </xf>
    <xf numFmtId="2" fontId="20" fillId="8" borderId="0" xfId="0" applyNumberFormat="1" applyFont="1" applyFill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2" fontId="54" fillId="3" borderId="56" xfId="0" applyNumberFormat="1" applyFont="1" applyFill="1" applyBorder="1" applyAlignment="1"/>
    <xf numFmtId="2" fontId="68" fillId="3" borderId="51" xfId="0" applyNumberFormat="1" applyFont="1" applyFill="1" applyBorder="1" applyAlignment="1">
      <alignment shrinkToFit="1"/>
    </xf>
    <xf numFmtId="2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9" borderId="0" xfId="0" applyFont="1" applyFill="1" applyBorder="1" applyAlignment="1">
      <alignment horizontal="center" wrapText="1"/>
    </xf>
    <xf numFmtId="1" fontId="5" fillId="9" borderId="0" xfId="0" applyNumberFormat="1" applyFont="1" applyFill="1" applyBorder="1" applyAlignment="1">
      <alignment horizontal="center" vertical="top" wrapText="1"/>
    </xf>
    <xf numFmtId="0" fontId="62" fillId="9" borderId="0" xfId="0" applyFont="1" applyFill="1" applyBorder="1" applyAlignment="1"/>
    <xf numFmtId="0" fontId="5" fillId="9" borderId="0" xfId="0" applyFont="1" applyFill="1" applyBorder="1" applyAlignment="1">
      <alignment horizontal="center" vertical="center" wrapText="1"/>
    </xf>
    <xf numFmtId="2" fontId="3" fillId="7" borderId="0" xfId="0" applyNumberFormat="1" applyFont="1" applyFill="1" applyBorder="1" applyAlignment="1">
      <alignment horizontal="right" vertical="top" wrapText="1"/>
    </xf>
    <xf numFmtId="0" fontId="5" fillId="9" borderId="0" xfId="0" applyFont="1" applyFill="1" applyBorder="1" applyAlignment="1">
      <alignment horizontal="left" vertical="top" wrapText="1"/>
    </xf>
    <xf numFmtId="2" fontId="5" fillId="7" borderId="0" xfId="0" applyNumberFormat="1" applyFont="1" applyFill="1" applyBorder="1" applyAlignment="1">
      <alignment horizontal="right" vertical="top" wrapText="1"/>
    </xf>
    <xf numFmtId="2" fontId="3" fillId="3" borderId="1" xfId="0" applyNumberFormat="1" applyFont="1" applyFill="1" applyBorder="1" applyAlignment="1"/>
    <xf numFmtId="0" fontId="5" fillId="22" borderId="1" xfId="0" applyFont="1" applyFill="1" applyBorder="1" applyAlignment="1"/>
    <xf numFmtId="2" fontId="5" fillId="22" borderId="1" xfId="0" applyNumberFormat="1" applyFont="1" applyFill="1" applyBorder="1" applyAlignment="1"/>
    <xf numFmtId="0" fontId="3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shrinkToFit="1"/>
    </xf>
    <xf numFmtId="0" fontId="5" fillId="0" borderId="4" xfId="0" applyFont="1" applyBorder="1" applyAlignment="1">
      <alignment horizontal="justify" vertical="top" shrinkToFit="1"/>
    </xf>
    <xf numFmtId="2" fontId="55" fillId="9" borderId="4" xfId="0" applyNumberFormat="1" applyFont="1" applyFill="1" applyBorder="1" applyAlignment="1">
      <alignment horizontal="right"/>
    </xf>
    <xf numFmtId="2" fontId="55" fillId="3" borderId="0" xfId="0" applyNumberFormat="1" applyFont="1" applyFill="1" applyBorder="1" applyAlignment="1">
      <alignment horizontal="right"/>
    </xf>
    <xf numFmtId="2" fontId="55" fillId="3" borderId="4" xfId="0" applyNumberFormat="1" applyFont="1" applyFill="1" applyBorder="1" applyAlignment="1" applyProtection="1">
      <alignment horizontal="left"/>
      <protection locked="0"/>
    </xf>
    <xf numFmtId="2" fontId="55" fillId="9" borderId="1" xfId="0" applyNumberFormat="1" applyFont="1" applyFill="1" applyBorder="1" applyAlignment="1">
      <alignment horizontal="right"/>
    </xf>
    <xf numFmtId="2" fontId="55" fillId="9" borderId="1" xfId="0" applyNumberFormat="1" applyFont="1" applyFill="1" applyBorder="1" applyAlignment="1" applyProtection="1">
      <alignment horizontal="right"/>
      <protection locked="0"/>
    </xf>
    <xf numFmtId="0" fontId="20" fillId="0" borderId="54" xfId="0" applyFont="1" applyBorder="1" applyAlignment="1">
      <alignment horizontal="justify" vertical="top" shrinkToFit="1"/>
    </xf>
    <xf numFmtId="2" fontId="20" fillId="0" borderId="26" xfId="0" applyNumberFormat="1" applyFont="1" applyBorder="1" applyAlignment="1">
      <alignment horizontal="right" vertical="top" shrinkToFit="1"/>
    </xf>
    <xf numFmtId="165" fontId="20" fillId="0" borderId="26" xfId="0" applyNumberFormat="1" applyFont="1" applyBorder="1" applyAlignment="1">
      <alignment horizontal="center" vertical="top" shrinkToFit="1"/>
    </xf>
    <xf numFmtId="2" fontId="68" fillId="0" borderId="41" xfId="0" applyNumberFormat="1" applyFont="1" applyBorder="1" applyAlignment="1">
      <alignment horizontal="right" vertical="top" shrinkToFit="1"/>
    </xf>
    <xf numFmtId="2" fontId="68" fillId="3" borderId="0" xfId="0" applyNumberFormat="1" applyFont="1" applyFill="1" applyBorder="1" applyAlignment="1">
      <alignment shrinkToFit="1"/>
    </xf>
    <xf numFmtId="2" fontId="5" fillId="3" borderId="0" xfId="1" applyNumberFormat="1" applyFont="1" applyFill="1" applyBorder="1" applyAlignment="1" applyProtection="1">
      <alignment shrinkToFit="1"/>
    </xf>
    <xf numFmtId="0" fontId="3" fillId="3" borderId="20" xfId="0" applyFont="1" applyFill="1" applyBorder="1" applyAlignment="1">
      <alignment horizontal="center"/>
    </xf>
    <xf numFmtId="0" fontId="5" fillId="3" borderId="20" xfId="0" applyFont="1" applyFill="1" applyBorder="1" applyAlignment="1"/>
    <xf numFmtId="0" fontId="5" fillId="3" borderId="20" xfId="0" applyFont="1" applyFill="1" applyBorder="1" applyAlignment="1">
      <alignment shrinkToFit="1"/>
    </xf>
    <xf numFmtId="2" fontId="5" fillId="3" borderId="20" xfId="0" applyNumberFormat="1" applyFont="1" applyFill="1" applyBorder="1" applyAlignment="1"/>
    <xf numFmtId="2" fontId="5" fillId="3" borderId="20" xfId="0" applyNumberFormat="1" applyFont="1" applyFill="1" applyBorder="1" applyAlignment="1">
      <alignment horizontal="center" shrinkToFit="1"/>
    </xf>
    <xf numFmtId="0" fontId="20" fillId="0" borderId="44" xfId="0" applyFont="1" applyBorder="1" applyAlignment="1">
      <alignment horizontal="justify" vertical="top" wrapText="1"/>
    </xf>
    <xf numFmtId="2" fontId="20" fillId="0" borderId="7" xfId="0" applyNumberFormat="1" applyFont="1" applyBorder="1" applyAlignment="1">
      <alignment horizontal="right" vertical="top" wrapText="1"/>
    </xf>
    <xf numFmtId="165" fontId="20" fillId="0" borderId="60" xfId="0" applyNumberFormat="1" applyFont="1" applyBorder="1" applyAlignment="1">
      <alignment horizontal="center" vertical="top" wrapText="1"/>
    </xf>
    <xf numFmtId="165" fontId="20" fillId="0" borderId="27" xfId="0" applyNumberFormat="1" applyFont="1" applyBorder="1" applyAlignment="1">
      <alignment horizontal="center" vertical="top" wrapText="1"/>
    </xf>
    <xf numFmtId="2" fontId="20" fillId="0" borderId="36" xfId="0" applyNumberFormat="1" applyFont="1" applyBorder="1" applyAlignment="1">
      <alignment horizontal="right" vertical="top" wrapText="1"/>
    </xf>
    <xf numFmtId="2" fontId="5" fillId="3" borderId="27" xfId="0" applyNumberFormat="1" applyFont="1" applyFill="1" applyBorder="1" applyAlignment="1"/>
    <xf numFmtId="2" fontId="5" fillId="3" borderId="15" xfId="0" applyNumberFormat="1" applyFont="1" applyFill="1" applyBorder="1" applyAlignment="1">
      <alignment shrinkToFit="1"/>
    </xf>
    <xf numFmtId="2" fontId="5" fillId="23" borderId="4" xfId="0" applyNumberFormat="1" applyFont="1" applyFill="1" applyBorder="1" applyAlignment="1">
      <alignment horizontal="left"/>
    </xf>
    <xf numFmtId="2" fontId="5" fillId="23" borderId="30" xfId="0" applyNumberFormat="1" applyFont="1" applyFill="1" applyBorder="1" applyAlignment="1">
      <alignment horizontal="right"/>
    </xf>
    <xf numFmtId="1" fontId="58" fillId="23" borderId="0" xfId="0" applyNumberFormat="1" applyFont="1" applyFill="1" applyBorder="1" applyAlignment="1">
      <alignment horizontal="center"/>
    </xf>
    <xf numFmtId="2" fontId="0" fillId="0" borderId="0" xfId="0" applyNumberFormat="1" applyAlignment="1"/>
    <xf numFmtId="2" fontId="5" fillId="23" borderId="30" xfId="0" applyNumberFormat="1" applyFont="1" applyFill="1" applyBorder="1" applyAlignment="1"/>
    <xf numFmtId="2" fontId="5" fillId="21" borderId="0" xfId="0" applyNumberFormat="1" applyFont="1" applyFill="1" applyBorder="1" applyAlignment="1"/>
    <xf numFmtId="2" fontId="5" fillId="23" borderId="0" xfId="0" applyNumberFormat="1" applyFont="1" applyFill="1"/>
    <xf numFmtId="2" fontId="3" fillId="16" borderId="1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1" xfId="0" applyFont="1" applyBorder="1"/>
    <xf numFmtId="0" fontId="5" fillId="25" borderId="11" xfId="0" applyFont="1" applyFill="1" applyBorder="1"/>
    <xf numFmtId="2" fontId="77" fillId="9" borderId="30" xfId="0" applyNumberFormat="1" applyFont="1" applyFill="1" applyBorder="1" applyAlignment="1">
      <alignment horizontal="right"/>
    </xf>
    <xf numFmtId="1" fontId="3" fillId="9" borderId="0" xfId="0" applyNumberFormat="1" applyFont="1" applyFill="1" applyAlignment="1">
      <alignment horizontal="center"/>
    </xf>
    <xf numFmtId="2" fontId="9" fillId="9" borderId="8" xfId="0" applyNumberFormat="1" applyFont="1" applyFill="1" applyBorder="1" applyAlignment="1">
      <alignment horizontal="left"/>
    </xf>
    <xf numFmtId="2" fontId="5" fillId="9" borderId="30" xfId="0" applyNumberFormat="1" applyFont="1" applyFill="1" applyBorder="1" applyAlignment="1">
      <alignment horizontal="right"/>
    </xf>
    <xf numFmtId="0" fontId="5" fillId="0" borderId="14" xfId="0" applyFont="1" applyBorder="1" applyAlignment="1">
      <alignment wrapText="1"/>
    </xf>
    <xf numFmtId="0" fontId="5" fillId="9" borderId="1" xfId="0" applyFont="1" applyFill="1" applyBorder="1" applyAlignment="1">
      <alignment horizontal="center"/>
    </xf>
    <xf numFmtId="165" fontId="5" fillId="9" borderId="1" xfId="0" applyNumberFormat="1" applyFont="1" applyFill="1" applyBorder="1" applyAlignment="1">
      <alignment horizontal="center"/>
    </xf>
    <xf numFmtId="165" fontId="5" fillId="9" borderId="1" xfId="0" applyNumberFormat="1" applyFont="1" applyFill="1" applyBorder="1" applyAlignment="1">
      <alignment horizontal="right"/>
    </xf>
    <xf numFmtId="1" fontId="5" fillId="9" borderId="0" xfId="0" applyNumberFormat="1" applyFont="1" applyFill="1" applyBorder="1" applyAlignment="1">
      <alignment horizontal="center"/>
    </xf>
    <xf numFmtId="1" fontId="58" fillId="9" borderId="0" xfId="0" applyNumberFormat="1" applyFont="1" applyFill="1" applyBorder="1" applyAlignment="1">
      <alignment horizontal="center"/>
    </xf>
    <xf numFmtId="2" fontId="54" fillId="9" borderId="0" xfId="0" applyNumberFormat="1" applyFont="1" applyFill="1" applyBorder="1"/>
    <xf numFmtId="2" fontId="54" fillId="9" borderId="0" xfId="0" applyNumberFormat="1" applyFont="1" applyFill="1"/>
    <xf numFmtId="2" fontId="5" fillId="9" borderId="30" xfId="0" applyNumberFormat="1" applyFont="1" applyFill="1" applyBorder="1"/>
    <xf numFmtId="2" fontId="5" fillId="3" borderId="34" xfId="0" applyNumberFormat="1" applyFont="1" applyFill="1" applyBorder="1" applyAlignment="1">
      <alignment horizontal="right"/>
    </xf>
    <xf numFmtId="0" fontId="18" fillId="0" borderId="1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right" vertical="center" wrapText="1"/>
    </xf>
    <xf numFmtId="0" fontId="5" fillId="3" borderId="38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4" fillId="0" borderId="25" xfId="0" applyFont="1" applyBorder="1" applyAlignment="1">
      <alignment horizontal="center" vertical="center" wrapText="1"/>
    </xf>
    <xf numFmtId="0" fontId="54" fillId="3" borderId="2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2" fontId="5" fillId="3" borderId="6" xfId="0" applyNumberFormat="1" applyFont="1" applyFill="1" applyBorder="1" applyAlignment="1">
      <alignment horizontal="center" vertical="center" wrapText="1" shrinkToFit="1"/>
    </xf>
    <xf numFmtId="2" fontId="5" fillId="3" borderId="20" xfId="0" applyNumberFormat="1" applyFont="1" applyFill="1" applyBorder="1" applyAlignment="1">
      <alignment horizontal="center" vertical="center" wrapText="1" shrinkToFit="1"/>
    </xf>
    <xf numFmtId="2" fontId="20" fillId="0" borderId="43" xfId="0" applyNumberFormat="1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5" fillId="0" borderId="25" xfId="0" applyFont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1" fontId="55" fillId="18" borderId="4" xfId="2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55" fillId="0" borderId="62" xfId="2" applyFont="1" applyBorder="1" applyAlignment="1">
      <alignment horizontal="center" vertical="center" wrapText="1"/>
    </xf>
    <xf numFmtId="0" fontId="62" fillId="0" borderId="26" xfId="0" applyFont="1" applyBorder="1" applyAlignment="1">
      <alignment horizontal="center" vertical="center" wrapText="1"/>
    </xf>
    <xf numFmtId="164" fontId="55" fillId="18" borderId="4" xfId="2" applyFont="1" applyFill="1" applyBorder="1" applyAlignment="1">
      <alignment horizontal="left" vertical="center" wrapText="1"/>
    </xf>
    <xf numFmtId="164" fontId="55" fillId="18" borderId="1" xfId="2" applyFont="1" applyFill="1" applyBorder="1" applyAlignment="1">
      <alignment horizontal="left" vertical="center" wrapText="1"/>
    </xf>
    <xf numFmtId="164" fontId="55" fillId="0" borderId="1" xfId="2" applyFont="1" applyBorder="1" applyAlignment="1">
      <alignment horizontal="center" vertical="top" wrapText="1"/>
    </xf>
    <xf numFmtId="164" fontId="55" fillId="0" borderId="6" xfId="2" applyFont="1" applyBorder="1" applyAlignment="1">
      <alignment horizontal="center" vertical="top" wrapText="1"/>
    </xf>
    <xf numFmtId="164" fontId="55" fillId="0" borderId="20" xfId="2" applyFont="1" applyBorder="1" applyAlignment="1">
      <alignment horizontal="center" vertical="top" wrapText="1"/>
    </xf>
    <xf numFmtId="164" fontId="55" fillId="0" borderId="4" xfId="2" applyFont="1" applyBorder="1" applyAlignment="1">
      <alignment horizontal="justify" vertical="top" wrapText="1"/>
    </xf>
    <xf numFmtId="164" fontId="55" fillId="0" borderId="25" xfId="2" applyFont="1" applyBorder="1" applyAlignment="1">
      <alignment horizontal="center" wrapText="1"/>
    </xf>
    <xf numFmtId="0" fontId="62" fillId="0" borderId="25" xfId="0" applyFont="1" applyBorder="1" applyAlignment="1">
      <alignment horizontal="center"/>
    </xf>
    <xf numFmtId="14" fontId="55" fillId="0" borderId="3" xfId="2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6" xfId="0" applyFont="1" applyBorder="1" applyAlignment="1">
      <alignment horizontal="center" vertical="center" wrapText="1"/>
    </xf>
    <xf numFmtId="14" fontId="55" fillId="0" borderId="19" xfId="2" applyNumberFormat="1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164" fontId="55" fillId="0" borderId="61" xfId="2" applyFont="1" applyBorder="1" applyAlignment="1">
      <alignment horizontal="center" vertical="center" wrapText="1"/>
    </xf>
    <xf numFmtId="164" fontId="55" fillId="0" borderId="46" xfId="2" applyFont="1" applyBorder="1" applyAlignment="1">
      <alignment horizontal="center" vertical="center" wrapText="1"/>
    </xf>
    <xf numFmtId="164" fontId="55" fillId="18" borderId="4" xfId="2" applyFont="1" applyFill="1" applyBorder="1" applyAlignment="1">
      <alignment wrapText="1"/>
    </xf>
    <xf numFmtId="0" fontId="0" fillId="18" borderId="1" xfId="0" applyFill="1" applyBorder="1" applyAlignment="1">
      <alignment wrapText="1"/>
    </xf>
    <xf numFmtId="0" fontId="55" fillId="9" borderId="0" xfId="0" applyFont="1" applyFill="1" applyBorder="1" applyAlignment="1">
      <alignment horizontal="right" shrinkToFit="1"/>
    </xf>
    <xf numFmtId="0" fontId="0" fillId="9" borderId="0" xfId="0" applyFill="1" applyAlignment="1"/>
    <xf numFmtId="49" fontId="55" fillId="9" borderId="0" xfId="0" applyNumberFormat="1" applyFont="1" applyFill="1" applyBorder="1" applyAlignment="1">
      <alignment horizontal="right" shrinkToFit="1"/>
    </xf>
    <xf numFmtId="49" fontId="0" fillId="0" borderId="0" xfId="0" applyNumberFormat="1"/>
    <xf numFmtId="0" fontId="3" fillId="9" borderId="10" xfId="0" applyFont="1" applyFill="1" applyBorder="1" applyAlignment="1">
      <alignment horizontal="center" vertical="top" wrapText="1"/>
    </xf>
    <xf numFmtId="0" fontId="0" fillId="9" borderId="19" xfId="0" applyFill="1" applyBorder="1"/>
    <xf numFmtId="0" fontId="0" fillId="9" borderId="17" xfId="0" applyFill="1" applyBorder="1"/>
    <xf numFmtId="0" fontId="3" fillId="9" borderId="9" xfId="0" applyFont="1" applyFill="1" applyBorder="1" applyAlignment="1">
      <alignment horizontal="center" vertical="top" wrapText="1"/>
    </xf>
    <xf numFmtId="0" fontId="0" fillId="9" borderId="0" xfId="0" applyFill="1" applyBorder="1"/>
    <xf numFmtId="0" fontId="0" fillId="9" borderId="18" xfId="0" applyFill="1" applyBorder="1"/>
    <xf numFmtId="0" fontId="5" fillId="9" borderId="13" xfId="0" applyFont="1" applyFill="1" applyBorder="1" applyAlignment="1">
      <alignment vertical="center" wrapText="1"/>
    </xf>
    <xf numFmtId="0" fontId="0" fillId="9" borderId="25" xfId="0" applyFill="1" applyBorder="1"/>
    <xf numFmtId="0" fontId="0" fillId="9" borderId="8" xfId="0" applyFill="1" applyBorder="1"/>
    <xf numFmtId="2" fontId="54" fillId="3" borderId="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justify"/>
    </xf>
    <xf numFmtId="0" fontId="5" fillId="3" borderId="19" xfId="0" applyFont="1" applyFill="1" applyBorder="1" applyAlignment="1">
      <alignment horizontal="justify"/>
    </xf>
    <xf numFmtId="14" fontId="5" fillId="3" borderId="1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vertical="center"/>
    </xf>
    <xf numFmtId="2" fontId="5" fillId="9" borderId="63" xfId="0" applyNumberFormat="1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2" fontId="5" fillId="3" borderId="62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5" fontId="5" fillId="3" borderId="20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wrapText="1"/>
    </xf>
    <xf numFmtId="165" fontId="5" fillId="3" borderId="6" xfId="0" applyNumberFormat="1" applyFont="1" applyFill="1" applyBorder="1" applyAlignment="1">
      <alignment wrapText="1"/>
    </xf>
    <xf numFmtId="0" fontId="5" fillId="3" borderId="9" xfId="0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>
      <alignment horizontal="left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5" fillId="3" borderId="25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2" fontId="0" fillId="9" borderId="64" xfId="0" applyNumberFormat="1" applyFill="1" applyBorder="1" applyAlignment="1">
      <alignment horizontal="center" vertical="center" wrapText="1"/>
    </xf>
    <xf numFmtId="2" fontId="0" fillId="9" borderId="45" xfId="0" applyNumberFormat="1" applyFill="1" applyBorder="1" applyAlignment="1">
      <alignment horizontal="center" vertical="center" wrapText="1"/>
    </xf>
    <xf numFmtId="2" fontId="5" fillId="3" borderId="17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2" fontId="5" fillId="3" borderId="25" xfId="0" applyNumberFormat="1" applyFont="1" applyFill="1" applyBorder="1" applyAlignment="1">
      <alignment horizontal="left" vertical="center" wrapText="1"/>
    </xf>
    <xf numFmtId="2" fontId="58" fillId="3" borderId="0" xfId="0" applyNumberFormat="1" applyFont="1" applyFill="1" applyBorder="1" applyAlignment="1">
      <alignment horizontal="center"/>
    </xf>
    <xf numFmtId="0" fontId="1" fillId="9" borderId="64" xfId="0" applyFont="1" applyFill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center" vertical="center" wrapText="1"/>
    </xf>
    <xf numFmtId="0" fontId="3" fillId="19" borderId="19" xfId="0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/>
    </xf>
    <xf numFmtId="2" fontId="3" fillId="23" borderId="17" xfId="0" applyNumberFormat="1" applyFont="1" applyFill="1" applyBorder="1" applyAlignment="1">
      <alignment horizontal="center"/>
    </xf>
    <xf numFmtId="0" fontId="16" fillId="19" borderId="0" xfId="0" applyFont="1" applyFill="1" applyBorder="1" applyAlignment="1">
      <alignment horizontal="center" vertical="center"/>
    </xf>
    <xf numFmtId="2" fontId="16" fillId="3" borderId="0" xfId="0" applyNumberFormat="1" applyFont="1" applyFill="1" applyBorder="1" applyAlignment="1">
      <alignment horizontal="center" vertical="center"/>
    </xf>
    <xf numFmtId="2" fontId="16" fillId="23" borderId="18" xfId="0" applyNumberFormat="1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justify"/>
    </xf>
    <xf numFmtId="2" fontId="5" fillId="3" borderId="0" xfId="0" applyNumberFormat="1" applyFont="1" applyFill="1" applyBorder="1" applyAlignment="1">
      <alignment horizontal="left"/>
    </xf>
    <xf numFmtId="166" fontId="63" fillId="9" borderId="51" xfId="4" applyNumberFormat="1" applyFont="1" applyFill="1" applyBorder="1" applyAlignment="1">
      <alignment horizontal="left"/>
    </xf>
    <xf numFmtId="166" fontId="63" fillId="9" borderId="28" xfId="4" applyNumberFormat="1" applyFont="1" applyFill="1" applyBorder="1" applyAlignment="1">
      <alignment horizontal="left"/>
    </xf>
    <xf numFmtId="165" fontId="2" fillId="9" borderId="1" xfId="4" applyNumberFormat="1" applyFont="1" applyFill="1" applyBorder="1" applyAlignment="1">
      <alignment horizontal="center" vertical="center" wrapText="1"/>
    </xf>
    <xf numFmtId="166" fontId="2" fillId="9" borderId="1" xfId="4" applyNumberFormat="1" applyFont="1" applyFill="1" applyBorder="1" applyAlignment="1">
      <alignment horizontal="center"/>
    </xf>
    <xf numFmtId="166" fontId="2" fillId="9" borderId="1" xfId="0" applyNumberFormat="1" applyFont="1" applyFill="1" applyBorder="1" applyAlignment="1">
      <alignment horizontal="center"/>
    </xf>
    <xf numFmtId="166" fontId="65" fillId="9" borderId="51" xfId="4" applyNumberFormat="1" applyFont="1" applyFill="1" applyBorder="1" applyAlignment="1">
      <alignment horizontal="left"/>
    </xf>
    <xf numFmtId="166" fontId="65" fillId="9" borderId="28" xfId="4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6" xfId="4" applyFont="1" applyFill="1" applyBorder="1" applyAlignment="1">
      <alignment horizontal="center" vertical="center" wrapText="1"/>
    </xf>
    <xf numFmtId="0" fontId="9" fillId="9" borderId="26" xfId="4" applyFont="1" applyFill="1" applyBorder="1" applyAlignment="1">
      <alignment horizontal="center" vertical="center" wrapText="1"/>
    </xf>
    <xf numFmtId="0" fontId="9" fillId="9" borderId="20" xfId="4" applyFont="1" applyFill="1" applyBorder="1" applyAlignment="1">
      <alignment horizontal="center" vertical="center" wrapText="1"/>
    </xf>
    <xf numFmtId="0" fontId="63" fillId="9" borderId="51" xfId="0" applyFont="1" applyFill="1" applyBorder="1" applyAlignment="1">
      <alignment horizontal="left"/>
    </xf>
    <xf numFmtId="0" fontId="63" fillId="9" borderId="28" xfId="0" applyFont="1" applyFill="1" applyBorder="1" applyAlignment="1">
      <alignment horizontal="left"/>
    </xf>
    <xf numFmtId="165" fontId="2" fillId="9" borderId="1" xfId="4" applyNumberFormat="1" applyFont="1" applyFill="1" applyBorder="1" applyAlignment="1">
      <alignment horizontal="center" vertical="center"/>
    </xf>
    <xf numFmtId="0" fontId="17" fillId="9" borderId="1" xfId="4" applyFont="1" applyFill="1" applyBorder="1" applyAlignment="1">
      <alignment horizontal="center" vertical="center" wrapText="1"/>
    </xf>
    <xf numFmtId="0" fontId="31" fillId="9" borderId="1" xfId="4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/>
    </xf>
    <xf numFmtId="1" fontId="2" fillId="9" borderId="1" xfId="4" applyNumberFormat="1" applyFont="1" applyFill="1" applyBorder="1" applyAlignment="1">
      <alignment horizontal="center" vertical="center" wrapText="1"/>
    </xf>
    <xf numFmtId="2" fontId="2" fillId="9" borderId="1" xfId="4" applyNumberFormat="1" applyFont="1" applyFill="1" applyBorder="1" applyAlignment="1">
      <alignment horizontal="center" vertical="center" wrapText="1"/>
    </xf>
    <xf numFmtId="0" fontId="2" fillId="9" borderId="1" xfId="4" applyFont="1" applyFill="1" applyBorder="1" applyAlignment="1">
      <alignment horizontal="center" vertical="center" wrapText="1"/>
    </xf>
    <xf numFmtId="0" fontId="9" fillId="9" borderId="1" xfId="4" applyFont="1" applyFill="1" applyBorder="1" applyAlignment="1">
      <alignment horizontal="center" vertical="center" wrapText="1"/>
    </xf>
    <xf numFmtId="165" fontId="17" fillId="9" borderId="1" xfId="4" applyNumberFormat="1" applyFont="1" applyFill="1" applyBorder="1" applyAlignment="1">
      <alignment horizontal="center" vertical="center"/>
    </xf>
    <xf numFmtId="165" fontId="10" fillId="9" borderId="1" xfId="4" applyNumberFormat="1" applyFont="1" applyFill="1" applyBorder="1" applyAlignment="1">
      <alignment horizontal="center" vertical="center" wrapText="1"/>
    </xf>
    <xf numFmtId="1" fontId="17" fillId="9" borderId="1" xfId="4" applyNumberFormat="1" applyFont="1" applyFill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13" xfId="0" applyFont="1" applyBorder="1" applyAlignment="1" applyProtection="1">
      <protection locked="0"/>
    </xf>
    <xf numFmtId="0" fontId="24" fillId="0" borderId="25" xfId="0" applyFont="1" applyBorder="1" applyAlignment="1" applyProtection="1">
      <protection locked="0"/>
    </xf>
    <xf numFmtId="0" fontId="18" fillId="0" borderId="10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4" fillId="0" borderId="67" xfId="0" applyFont="1" applyBorder="1" applyAlignment="1" applyProtection="1">
      <protection locked="0"/>
    </xf>
    <xf numFmtId="0" fontId="24" fillId="0" borderId="68" xfId="0" applyFont="1" applyBorder="1" applyAlignment="1" applyProtection="1">
      <protection locked="0"/>
    </xf>
    <xf numFmtId="0" fontId="24" fillId="0" borderId="50" xfId="0" applyFont="1" applyBorder="1" applyAlignment="1" applyProtection="1">
      <protection locked="0"/>
    </xf>
    <xf numFmtId="0" fontId="2" fillId="0" borderId="61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9" fillId="0" borderId="61" xfId="0" applyFont="1" applyBorder="1" applyAlignment="1" applyProtection="1">
      <alignment horizontal="left"/>
      <protection locked="0"/>
    </xf>
    <xf numFmtId="0" fontId="9" fillId="0" borderId="66" xfId="0" applyFont="1" applyBorder="1" applyAlignment="1" applyProtection="1">
      <alignment horizontal="left"/>
      <protection locked="0"/>
    </xf>
    <xf numFmtId="0" fontId="9" fillId="0" borderId="28" xfId="0" applyFont="1" applyBorder="1" applyAlignment="1" applyProtection="1">
      <alignment horizontal="left"/>
      <protection locked="0"/>
    </xf>
    <xf numFmtId="2" fontId="41" fillId="0" borderId="5" xfId="0" applyNumberFormat="1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2" fontId="41" fillId="0" borderId="5" xfId="0" applyNumberFormat="1" applyFont="1" applyBorder="1" applyAlignment="1">
      <alignment horizontal="center" vertical="center" wrapText="1"/>
    </xf>
    <xf numFmtId="0" fontId="39" fillId="0" borderId="12" xfId="0" applyFont="1" applyBorder="1" applyAlignment="1">
      <alignment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14" fontId="40" fillId="0" borderId="9" xfId="0" applyNumberFormat="1" applyFont="1" applyBorder="1" applyAlignment="1">
      <alignment horizontal="center"/>
    </xf>
    <xf numFmtId="0" fontId="39" fillId="0" borderId="18" xfId="0" applyFont="1" applyBorder="1" applyAlignment="1"/>
    <xf numFmtId="0" fontId="2" fillId="3" borderId="31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14" fontId="40" fillId="0" borderId="51" xfId="0" applyNumberFormat="1" applyFont="1" applyBorder="1" applyAlignment="1">
      <alignment horizontal="center"/>
    </xf>
    <xf numFmtId="14" fontId="40" fillId="0" borderId="65" xfId="0" applyNumberFormat="1" applyFont="1" applyBorder="1" applyAlignment="1">
      <alignment horizontal="center"/>
    </xf>
    <xf numFmtId="0" fontId="2" fillId="0" borderId="61" xfId="0" quotePrefix="1" applyFont="1" applyBorder="1" applyAlignment="1">
      <alignment horizontal="left"/>
    </xf>
    <xf numFmtId="0" fontId="2" fillId="0" borderId="66" xfId="0" quotePrefix="1" applyFont="1" applyBorder="1" applyAlignment="1">
      <alignment horizontal="left"/>
    </xf>
    <xf numFmtId="0" fontId="2" fillId="0" borderId="28" xfId="0" quotePrefix="1" applyFont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6" fillId="0" borderId="13" xfId="0" applyFont="1" applyBorder="1" applyAlignment="1">
      <alignment horizontal="left"/>
    </xf>
    <xf numFmtId="0" fontId="26" fillId="0" borderId="2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14" fontId="40" fillId="0" borderId="1" xfId="0" applyNumberFormat="1" applyFont="1" applyBorder="1" applyAlignment="1">
      <alignment horizontal="center"/>
    </xf>
    <xf numFmtId="0" fontId="39" fillId="0" borderId="30" xfId="0" applyFont="1" applyBorder="1" applyAlignment="1"/>
    <xf numFmtId="0" fontId="2" fillId="0" borderId="4" xfId="0" quotePrefix="1" applyFont="1" applyBorder="1" applyAlignment="1">
      <alignment horizontal="left"/>
    </xf>
    <xf numFmtId="0" fontId="24" fillId="0" borderId="29" xfId="0" applyFont="1" applyBorder="1" applyAlignment="1" applyProtection="1">
      <protection locked="0"/>
    </xf>
    <xf numFmtId="0" fontId="24" fillId="0" borderId="21" xfId="0" applyFont="1" applyBorder="1" applyAlignment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" fontId="72" fillId="24" borderId="61" xfId="0" applyNumberFormat="1" applyFont="1" applyFill="1" applyBorder="1" applyAlignment="1">
      <alignment horizontal="left"/>
    </xf>
    <xf numFmtId="4" fontId="72" fillId="24" borderId="66" xfId="0" applyNumberFormat="1" applyFont="1" applyFill="1" applyBorder="1" applyAlignment="1">
      <alignment horizontal="left"/>
    </xf>
    <xf numFmtId="4" fontId="72" fillId="24" borderId="65" xfId="0" applyNumberFormat="1" applyFont="1" applyFill="1" applyBorder="1" applyAlignment="1">
      <alignment horizontal="left"/>
    </xf>
    <xf numFmtId="4" fontId="72" fillId="24" borderId="57" xfId="0" applyNumberFormat="1" applyFont="1" applyFill="1" applyBorder="1" applyAlignment="1">
      <alignment horizontal="left"/>
    </xf>
    <xf numFmtId="4" fontId="72" fillId="24" borderId="69" xfId="0" applyNumberFormat="1" applyFont="1" applyFill="1" applyBorder="1" applyAlignment="1">
      <alignment horizontal="left"/>
    </xf>
    <xf numFmtId="4" fontId="72" fillId="24" borderId="70" xfId="0" applyNumberFormat="1" applyFont="1" applyFill="1" applyBorder="1" applyAlignment="1">
      <alignment horizontal="left"/>
    </xf>
    <xf numFmtId="0" fontId="70" fillId="0" borderId="1" xfId="0" applyFont="1" applyBorder="1" applyAlignment="1">
      <alignment horizontal="center"/>
    </xf>
    <xf numFmtId="0" fontId="70" fillId="0" borderId="30" xfId="0" applyFont="1" applyBorder="1" applyAlignment="1">
      <alignment horizontal="center"/>
    </xf>
    <xf numFmtId="0" fontId="70" fillId="0" borderId="21" xfId="0" applyFont="1" applyBorder="1" applyAlignment="1">
      <alignment horizontal="center"/>
    </xf>
    <xf numFmtId="0" fontId="70" fillId="0" borderId="23" xfId="0" applyFont="1" applyBorder="1" applyAlignment="1">
      <alignment horizontal="center"/>
    </xf>
    <xf numFmtId="0" fontId="71" fillId="0" borderId="43" xfId="0" applyFont="1" applyBorder="1" applyAlignment="1">
      <alignment horizontal="center"/>
    </xf>
    <xf numFmtId="0" fontId="71" fillId="0" borderId="27" xfId="0" applyFont="1" applyBorder="1" applyAlignment="1">
      <alignment horizontal="center"/>
    </xf>
    <xf numFmtId="0" fontId="71" fillId="0" borderId="15" xfId="0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0" borderId="44" xfId="0" applyFont="1" applyBorder="1" applyAlignment="1">
      <alignment horizontal="center"/>
    </xf>
    <xf numFmtId="0" fontId="71" fillId="0" borderId="7" xfId="0" applyFont="1" applyBorder="1" applyAlignment="1">
      <alignment horizontal="center"/>
    </xf>
    <xf numFmtId="0" fontId="71" fillId="0" borderId="36" xfId="0" applyFont="1" applyBorder="1" applyAlignment="1">
      <alignment horizontal="center"/>
    </xf>
    <xf numFmtId="0" fontId="71" fillId="0" borderId="6" xfId="0" applyFont="1" applyBorder="1" applyAlignment="1">
      <alignment horizontal="left"/>
    </xf>
    <xf numFmtId="0" fontId="71" fillId="0" borderId="3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70" fillId="0" borderId="22" xfId="0" applyFont="1" applyBorder="1" applyAlignment="1">
      <alignment horizontal="center"/>
    </xf>
    <xf numFmtId="0" fontId="2" fillId="9" borderId="3" xfId="4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/>
    </xf>
    <xf numFmtId="166" fontId="2" fillId="9" borderId="29" xfId="4" applyNumberFormat="1" applyFont="1" applyFill="1" applyBorder="1" applyAlignment="1">
      <alignment horizontal="center"/>
    </xf>
    <xf numFmtId="166" fontId="2" fillId="9" borderId="21" xfId="4" applyNumberFormat="1" applyFont="1" applyFill="1" applyBorder="1" applyAlignment="1">
      <alignment horizontal="center"/>
    </xf>
    <xf numFmtId="0" fontId="17" fillId="9" borderId="2" xfId="4" applyFont="1" applyFill="1" applyBorder="1" applyAlignment="1">
      <alignment horizontal="center" vertical="center" wrapText="1"/>
    </xf>
    <xf numFmtId="0" fontId="31" fillId="9" borderId="4" xfId="4" applyFont="1" applyFill="1" applyBorder="1" applyAlignment="1">
      <alignment horizontal="center" vertical="center" wrapText="1"/>
    </xf>
    <xf numFmtId="0" fontId="17" fillId="9" borderId="3" xfId="4" applyFont="1" applyFill="1" applyBorder="1" applyAlignment="1">
      <alignment horizontal="center" vertical="center" wrapText="1"/>
    </xf>
    <xf numFmtId="1" fontId="17" fillId="9" borderId="3" xfId="4" applyNumberFormat="1" applyFont="1" applyFill="1" applyBorder="1" applyAlignment="1">
      <alignment horizontal="center" vertical="center" wrapText="1"/>
    </xf>
    <xf numFmtId="165" fontId="17" fillId="9" borderId="3" xfId="4" applyNumberFormat="1" applyFont="1" applyFill="1" applyBorder="1" applyAlignment="1">
      <alignment horizontal="center" vertical="center"/>
    </xf>
    <xf numFmtId="4" fontId="17" fillId="9" borderId="3" xfId="4" applyNumberFormat="1" applyFont="1" applyFill="1" applyBorder="1" applyAlignment="1">
      <alignment horizontal="center" vertical="center" wrapText="1"/>
    </xf>
    <xf numFmtId="4" fontId="17" fillId="9" borderId="1" xfId="4" applyNumberFormat="1" applyFont="1" applyFill="1" applyBorder="1" applyAlignment="1">
      <alignment horizontal="center" vertical="center" wrapText="1"/>
    </xf>
    <xf numFmtId="0" fontId="17" fillId="9" borderId="59" xfId="4" applyFont="1" applyFill="1" applyBorder="1" applyAlignment="1">
      <alignment horizontal="center" vertical="center" wrapText="1"/>
    </xf>
    <xf numFmtId="0" fontId="2" fillId="9" borderId="2" xfId="4" applyFont="1" applyFill="1" applyBorder="1" applyAlignment="1">
      <alignment horizontal="center" vertical="center" wrapText="1"/>
    </xf>
    <xf numFmtId="0" fontId="9" fillId="9" borderId="4" xfId="4" applyFont="1" applyFill="1" applyBorder="1" applyAlignment="1">
      <alignment horizontal="center" vertical="center" wrapText="1"/>
    </xf>
    <xf numFmtId="1" fontId="2" fillId="9" borderId="3" xfId="4" applyNumberFormat="1" applyFont="1" applyFill="1" applyBorder="1" applyAlignment="1">
      <alignment horizontal="center" vertical="center"/>
    </xf>
    <xf numFmtId="1" fontId="2" fillId="9" borderId="1" xfId="4" applyNumberFormat="1" applyFont="1" applyFill="1" applyBorder="1" applyAlignment="1">
      <alignment horizontal="center" vertical="center"/>
    </xf>
    <xf numFmtId="165" fontId="2" fillId="9" borderId="3" xfId="4" applyNumberFormat="1" applyFont="1" applyFill="1" applyBorder="1" applyAlignment="1">
      <alignment horizontal="center" vertical="center"/>
    </xf>
    <xf numFmtId="2" fontId="2" fillId="9" borderId="3" xfId="4" applyNumberFormat="1" applyFont="1" applyFill="1" applyBorder="1" applyAlignment="1">
      <alignment horizontal="center" vertical="center" wrapText="1"/>
    </xf>
    <xf numFmtId="1" fontId="2" fillId="9" borderId="3" xfId="4" applyNumberFormat="1" applyFont="1" applyFill="1" applyBorder="1" applyAlignment="1">
      <alignment horizontal="center" vertical="center" wrapText="1"/>
    </xf>
    <xf numFmtId="4" fontId="2" fillId="9" borderId="3" xfId="4" applyNumberFormat="1" applyFont="1" applyFill="1" applyBorder="1" applyAlignment="1">
      <alignment horizontal="center" vertical="center" wrapText="1"/>
    </xf>
    <xf numFmtId="4" fontId="2" fillId="9" borderId="1" xfId="4" applyNumberFormat="1" applyFont="1" applyFill="1" applyBorder="1" applyAlignment="1">
      <alignment horizontal="center" vertical="center" wrapText="1"/>
    </xf>
    <xf numFmtId="2" fontId="31" fillId="9" borderId="5" xfId="4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4" fillId="9" borderId="3" xfId="0" applyFont="1" applyFill="1" applyBorder="1" applyAlignment="1">
      <alignment horizontal="center" vertical="center" wrapText="1"/>
    </xf>
    <xf numFmtId="166" fontId="2" fillId="9" borderId="4" xfId="4" applyNumberFormat="1" applyFont="1" applyFill="1" applyBorder="1" applyAlignment="1">
      <alignment horizontal="center"/>
    </xf>
    <xf numFmtId="166" fontId="2" fillId="9" borderId="4" xfId="0" applyNumberFormat="1" applyFont="1" applyFill="1" applyBorder="1" applyAlignment="1">
      <alignment horizontal="center"/>
    </xf>
    <xf numFmtId="2" fontId="17" fillId="9" borderId="1" xfId="4" applyNumberFormat="1" applyFont="1" applyFill="1" applyBorder="1" applyAlignment="1">
      <alignment horizontal="center" vertical="center" wrapText="1"/>
    </xf>
    <xf numFmtId="2" fontId="17" fillId="9" borderId="51" xfId="4" applyNumberFormat="1" applyFont="1" applyFill="1" applyBorder="1" applyAlignment="1">
      <alignment horizontal="center" vertical="center" wrapText="1"/>
    </xf>
    <xf numFmtId="166" fontId="17" fillId="9" borderId="4" xfId="4" applyNumberFormat="1" applyFont="1" applyFill="1" applyBorder="1" applyAlignment="1">
      <alignment horizontal="center"/>
    </xf>
    <xf numFmtId="166" fontId="17" fillId="9" borderId="1" xfId="4" applyNumberFormat="1" applyFont="1" applyFill="1" applyBorder="1" applyAlignment="1">
      <alignment horizontal="center"/>
    </xf>
    <xf numFmtId="0" fontId="17" fillId="9" borderId="4" xfId="0" applyFont="1" applyFill="1" applyBorder="1" applyAlignment="1">
      <alignment horizontal="center"/>
    </xf>
    <xf numFmtId="166" fontId="17" fillId="9" borderId="29" xfId="4" applyNumberFormat="1" applyFont="1" applyFill="1" applyBorder="1" applyAlignment="1">
      <alignment horizontal="center"/>
    </xf>
    <xf numFmtId="166" fontId="17" fillId="9" borderId="21" xfId="4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11" borderId="90" xfId="0" applyFont="1" applyFill="1" applyBorder="1" applyAlignment="1">
      <alignment vertical="top" wrapText="1"/>
    </xf>
    <xf numFmtId="0" fontId="5" fillId="11" borderId="88" xfId="0" applyFont="1" applyFill="1" applyBorder="1" applyAlignment="1">
      <alignment vertical="top" wrapText="1"/>
    </xf>
    <xf numFmtId="0" fontId="5" fillId="11" borderId="82" xfId="0" applyFont="1" applyFill="1" applyBorder="1" applyAlignment="1">
      <alignment vertical="top" wrapText="1"/>
    </xf>
    <xf numFmtId="0" fontId="3" fillId="10" borderId="90" xfId="0" applyFont="1" applyFill="1" applyBorder="1" applyAlignment="1">
      <alignment horizontal="center" vertical="top" wrapText="1"/>
    </xf>
    <xf numFmtId="0" fontId="3" fillId="10" borderId="88" xfId="0" applyFont="1" applyFill="1" applyBorder="1" applyAlignment="1">
      <alignment horizontal="center" vertical="top" wrapText="1"/>
    </xf>
    <xf numFmtId="0" fontId="3" fillId="10" borderId="82" xfId="0" applyFont="1" applyFill="1" applyBorder="1" applyAlignment="1">
      <alignment horizontal="center" vertical="top" wrapText="1"/>
    </xf>
    <xf numFmtId="0" fontId="5" fillId="10" borderId="86" xfId="0" applyFont="1" applyFill="1" applyBorder="1" applyAlignment="1">
      <alignment horizontal="center" vertical="top" wrapText="1"/>
    </xf>
    <xf numFmtId="0" fontId="5" fillId="10" borderId="78" xfId="0" applyFont="1" applyFill="1" applyBorder="1" applyAlignment="1">
      <alignment horizontal="center" vertical="top" wrapText="1"/>
    </xf>
    <xf numFmtId="2" fontId="5" fillId="10" borderId="86" xfId="0" applyNumberFormat="1" applyFont="1" applyFill="1" applyBorder="1" applyAlignment="1">
      <alignment vertical="top" wrapText="1"/>
    </xf>
    <xf numFmtId="2" fontId="5" fillId="10" borderId="78" xfId="0" applyNumberFormat="1" applyFont="1" applyFill="1" applyBorder="1" applyAlignment="1">
      <alignment vertical="top" wrapText="1"/>
    </xf>
    <xf numFmtId="0" fontId="3" fillId="7" borderId="90" xfId="0" applyFont="1" applyFill="1" applyBorder="1" applyAlignment="1">
      <alignment horizontal="center" vertical="top" wrapText="1"/>
    </xf>
    <xf numFmtId="0" fontId="3" fillId="7" borderId="88" xfId="0" applyFont="1" applyFill="1" applyBorder="1" applyAlignment="1">
      <alignment horizontal="center" vertical="top" wrapText="1"/>
    </xf>
    <xf numFmtId="0" fontId="3" fillId="7" borderId="82" xfId="0" applyFont="1" applyFill="1" applyBorder="1" applyAlignment="1">
      <alignment horizontal="center" vertical="top" wrapText="1"/>
    </xf>
    <xf numFmtId="0" fontId="3" fillId="11" borderId="90" xfId="0" applyFont="1" applyFill="1" applyBorder="1" applyAlignment="1">
      <alignment horizontal="center" vertical="top" wrapText="1"/>
    </xf>
    <xf numFmtId="0" fontId="3" fillId="11" borderId="88" xfId="0" applyFont="1" applyFill="1" applyBorder="1" applyAlignment="1">
      <alignment horizontal="center" vertical="top" wrapText="1"/>
    </xf>
    <xf numFmtId="0" fontId="3" fillId="11" borderId="82" xfId="0" applyFont="1" applyFill="1" applyBorder="1" applyAlignment="1">
      <alignment horizontal="center" vertical="top" wrapText="1"/>
    </xf>
    <xf numFmtId="0" fontId="5" fillId="12" borderId="86" xfId="0" applyFont="1" applyFill="1" applyBorder="1" applyAlignment="1">
      <alignment horizontal="center" vertical="top" wrapText="1"/>
    </xf>
    <xf numFmtId="0" fontId="5" fillId="12" borderId="78" xfId="0" applyFont="1" applyFill="1" applyBorder="1" applyAlignment="1">
      <alignment horizontal="center" vertical="top" wrapText="1"/>
    </xf>
    <xf numFmtId="2" fontId="5" fillId="12" borderId="86" xfId="0" applyNumberFormat="1" applyFont="1" applyFill="1" applyBorder="1" applyAlignment="1">
      <alignment vertical="top" wrapText="1"/>
    </xf>
    <xf numFmtId="2" fontId="5" fillId="12" borderId="78" xfId="0" applyNumberFormat="1" applyFont="1" applyFill="1" applyBorder="1" applyAlignment="1">
      <alignment vertical="top" wrapText="1"/>
    </xf>
    <xf numFmtId="0" fontId="3" fillId="12" borderId="90" xfId="0" applyFont="1" applyFill="1" applyBorder="1" applyAlignment="1">
      <alignment horizontal="center" vertical="top" wrapText="1"/>
    </xf>
    <xf numFmtId="0" fontId="3" fillId="12" borderId="88" xfId="0" applyFont="1" applyFill="1" applyBorder="1" applyAlignment="1">
      <alignment horizontal="center" vertical="top" wrapText="1"/>
    </xf>
    <xf numFmtId="0" fontId="3" fillId="12" borderId="82" xfId="0" applyFont="1" applyFill="1" applyBorder="1" applyAlignment="1">
      <alignment horizontal="center" vertical="top" wrapText="1"/>
    </xf>
    <xf numFmtId="0" fontId="5" fillId="12" borderId="86" xfId="0" applyFont="1" applyFill="1" applyBorder="1" applyAlignment="1">
      <alignment vertical="top" wrapText="1"/>
    </xf>
    <xf numFmtId="0" fontId="5" fillId="12" borderId="78" xfId="0" applyFont="1" applyFill="1" applyBorder="1" applyAlignment="1">
      <alignment vertical="top" wrapText="1"/>
    </xf>
    <xf numFmtId="0" fontId="5" fillId="12" borderId="90" xfId="0" applyFont="1" applyFill="1" applyBorder="1" applyAlignment="1">
      <alignment vertical="top" wrapText="1"/>
    </xf>
    <xf numFmtId="0" fontId="5" fillId="12" borderId="88" xfId="0" applyFont="1" applyFill="1" applyBorder="1" applyAlignment="1">
      <alignment vertical="top" wrapText="1"/>
    </xf>
    <xf numFmtId="0" fontId="5" fillId="12" borderId="82" xfId="0" applyFont="1" applyFill="1" applyBorder="1" applyAlignment="1">
      <alignment vertical="top" wrapText="1"/>
    </xf>
    <xf numFmtId="0" fontId="5" fillId="12" borderId="86" xfId="0" applyFont="1" applyFill="1" applyBorder="1" applyAlignment="1">
      <alignment horizontal="justify" vertical="top" wrapText="1"/>
    </xf>
    <xf numFmtId="0" fontId="5" fillId="12" borderId="78" xfId="0" applyFont="1" applyFill="1" applyBorder="1" applyAlignment="1">
      <alignment horizontal="justify" vertical="top" wrapText="1"/>
    </xf>
    <xf numFmtId="0" fontId="3" fillId="13" borderId="90" xfId="0" applyFont="1" applyFill="1" applyBorder="1" applyAlignment="1">
      <alignment horizontal="center" vertical="top" wrapText="1"/>
    </xf>
    <xf numFmtId="0" fontId="3" fillId="13" borderId="88" xfId="0" applyFont="1" applyFill="1" applyBorder="1" applyAlignment="1">
      <alignment horizontal="center" vertical="top" wrapText="1"/>
    </xf>
    <xf numFmtId="0" fontId="3" fillId="13" borderId="82" xfId="0" applyFont="1" applyFill="1" applyBorder="1" applyAlignment="1">
      <alignment horizontal="center" vertical="top" wrapText="1"/>
    </xf>
    <xf numFmtId="2" fontId="5" fillId="15" borderId="86" xfId="0" applyNumberFormat="1" applyFont="1" applyFill="1" applyBorder="1" applyAlignment="1">
      <alignment vertical="top" wrapText="1"/>
    </xf>
    <xf numFmtId="2" fontId="5" fillId="15" borderId="78" xfId="0" applyNumberFormat="1" applyFont="1" applyFill="1" applyBorder="1" applyAlignment="1">
      <alignment vertical="top" wrapText="1"/>
    </xf>
    <xf numFmtId="0" fontId="5" fillId="13" borderId="86" xfId="0" applyFont="1" applyFill="1" applyBorder="1" applyAlignment="1">
      <alignment vertical="top" wrapText="1"/>
    </xf>
    <xf numFmtId="0" fontId="5" fillId="13" borderId="78" xfId="0" applyFont="1" applyFill="1" applyBorder="1" applyAlignment="1">
      <alignment vertical="top" wrapText="1"/>
    </xf>
    <xf numFmtId="0" fontId="5" fillId="13" borderId="90" xfId="0" applyFont="1" applyFill="1" applyBorder="1" applyAlignment="1">
      <alignment vertical="top" wrapText="1"/>
    </xf>
    <xf numFmtId="0" fontId="5" fillId="13" borderId="88" xfId="0" applyFont="1" applyFill="1" applyBorder="1" applyAlignment="1">
      <alignment vertical="top" wrapText="1"/>
    </xf>
    <xf numFmtId="0" fontId="5" fillId="13" borderId="82" xfId="0" applyFont="1" applyFill="1" applyBorder="1" applyAlignment="1">
      <alignment vertical="top" wrapText="1"/>
    </xf>
    <xf numFmtId="0" fontId="3" fillId="14" borderId="87" xfId="0" applyFont="1" applyFill="1" applyBorder="1" applyAlignment="1">
      <alignment horizontal="center" vertical="top" wrapText="1"/>
    </xf>
    <xf numFmtId="0" fontId="3" fillId="14" borderId="88" xfId="0" applyFont="1" applyFill="1" applyBorder="1" applyAlignment="1">
      <alignment horizontal="center" vertical="top" wrapText="1"/>
    </xf>
    <xf numFmtId="0" fontId="3" fillId="14" borderId="89" xfId="0" applyFont="1" applyFill="1" applyBorder="1" applyAlignment="1">
      <alignment horizontal="center" vertical="top" wrapText="1"/>
    </xf>
    <xf numFmtId="0" fontId="3" fillId="10" borderId="87" xfId="0" applyFont="1" applyFill="1" applyBorder="1" applyAlignment="1">
      <alignment horizontal="center" vertical="top" wrapText="1"/>
    </xf>
    <xf numFmtId="0" fontId="3" fillId="10" borderId="89" xfId="0" applyFont="1" applyFill="1" applyBorder="1" applyAlignment="1">
      <alignment horizontal="center" vertical="top" wrapText="1"/>
    </xf>
    <xf numFmtId="0" fontId="3" fillId="15" borderId="87" xfId="0" applyFont="1" applyFill="1" applyBorder="1" applyAlignment="1">
      <alignment horizontal="center" vertical="top" wrapText="1"/>
    </xf>
    <xf numFmtId="0" fontId="3" fillId="15" borderId="88" xfId="0" applyFont="1" applyFill="1" applyBorder="1" applyAlignment="1">
      <alignment horizontal="center" vertical="top" wrapText="1"/>
    </xf>
    <xf numFmtId="0" fontId="3" fillId="15" borderId="89" xfId="0" applyFont="1" applyFill="1" applyBorder="1" applyAlignment="1">
      <alignment horizontal="center" vertical="top" wrapText="1"/>
    </xf>
    <xf numFmtId="0" fontId="3" fillId="16" borderId="87" xfId="0" applyFont="1" applyFill="1" applyBorder="1" applyAlignment="1">
      <alignment horizontal="center" vertical="top" wrapText="1"/>
    </xf>
    <xf numFmtId="0" fontId="3" fillId="16" borderId="88" xfId="0" applyFont="1" applyFill="1" applyBorder="1" applyAlignment="1">
      <alignment horizontal="center" vertical="top" wrapText="1"/>
    </xf>
    <xf numFmtId="0" fontId="3" fillId="16" borderId="89" xfId="0" applyFont="1" applyFill="1" applyBorder="1" applyAlignment="1">
      <alignment horizontal="center" vertical="top" wrapText="1"/>
    </xf>
    <xf numFmtId="0" fontId="5" fillId="15" borderId="86" xfId="0" applyFont="1" applyFill="1" applyBorder="1" applyAlignment="1">
      <alignment horizontal="center" vertical="top" wrapText="1"/>
    </xf>
    <xf numFmtId="0" fontId="5" fillId="15" borderId="78" xfId="0" applyFont="1" applyFill="1" applyBorder="1" applyAlignment="1">
      <alignment horizontal="center" vertical="top" wrapText="1"/>
    </xf>
    <xf numFmtId="0" fontId="50" fillId="0" borderId="12" xfId="0" applyFont="1" applyBorder="1" applyAlignment="1">
      <alignment horizontal="center" wrapText="1"/>
    </xf>
    <xf numFmtId="0" fontId="50" fillId="0" borderId="11" xfId="0" applyFont="1" applyBorder="1" applyAlignment="1">
      <alignment horizontal="center" wrapText="1"/>
    </xf>
    <xf numFmtId="0" fontId="50" fillId="0" borderId="4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57" xfId="0" applyFont="1" applyBorder="1" applyAlignment="1">
      <alignment vertical="center" wrapText="1"/>
    </xf>
    <xf numFmtId="0" fontId="0" fillId="0" borderId="69" xfId="0" applyBorder="1" applyAlignment="1"/>
    <xf numFmtId="0" fontId="0" fillId="0" borderId="70" xfId="0" applyBorder="1" applyAlignment="1"/>
    <xf numFmtId="0" fontId="5" fillId="23" borderId="48" xfId="0" applyFont="1" applyFill="1" applyBorder="1" applyAlignment="1">
      <alignment vertical="center" wrapText="1"/>
    </xf>
    <xf numFmtId="0" fontId="5" fillId="23" borderId="47" xfId="0" applyFont="1" applyFill="1" applyBorder="1" applyAlignment="1">
      <alignment vertical="center" wrapText="1"/>
    </xf>
    <xf numFmtId="0" fontId="5" fillId="23" borderId="4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shrinkToFit="1"/>
    </xf>
    <xf numFmtId="0" fontId="2" fillId="0" borderId="18" xfId="0" applyFont="1" applyFill="1" applyBorder="1" applyAlignment="1">
      <alignment horizontal="center" shrinkToFit="1"/>
    </xf>
    <xf numFmtId="0" fontId="6" fillId="0" borderId="1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" fontId="6" fillId="0" borderId="19" xfId="0" applyNumberFormat="1" applyFont="1" applyFill="1" applyBorder="1" applyAlignment="1">
      <alignment horizontal="center"/>
    </xf>
    <xf numFmtId="2" fontId="6" fillId="0" borderId="19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3" xfId="0" applyFont="1" applyFill="1" applyBorder="1" applyAlignment="1"/>
    <xf numFmtId="0" fontId="23" fillId="0" borderId="25" xfId="0" applyFont="1" applyFill="1" applyBorder="1" applyAlignment="1"/>
    <xf numFmtId="1" fontId="23" fillId="0" borderId="25" xfId="0" applyNumberFormat="1" applyFont="1" applyFill="1" applyBorder="1" applyAlignment="1"/>
    <xf numFmtId="0" fontId="23" fillId="0" borderId="25" xfId="0" applyFont="1" applyFill="1" applyBorder="1" applyAlignment="1">
      <alignment horizontal="center"/>
    </xf>
    <xf numFmtId="2" fontId="23" fillId="0" borderId="25" xfId="0" applyNumberFormat="1" applyFont="1" applyFill="1" applyBorder="1" applyAlignment="1">
      <alignment horizontal="center"/>
    </xf>
    <xf numFmtId="0" fontId="23" fillId="0" borderId="25" xfId="0" applyFont="1" applyFill="1" applyBorder="1" applyAlignment="1">
      <alignment horizontal="right"/>
    </xf>
    <xf numFmtId="168" fontId="2" fillId="0" borderId="13" xfId="0" applyNumberFormat="1" applyFont="1" applyFill="1" applyBorder="1" applyAlignment="1">
      <alignment horizontal="center" vertical="center"/>
    </xf>
    <xf numFmtId="168" fontId="23" fillId="0" borderId="8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shrinkToFit="1"/>
    </xf>
    <xf numFmtId="0" fontId="23" fillId="0" borderId="12" xfId="0" applyFont="1" applyFill="1" applyBorder="1" applyAlignment="1">
      <alignment horizontal="center" shrinkToFit="1"/>
    </xf>
    <xf numFmtId="0" fontId="23" fillId="0" borderId="11" xfId="0" applyFont="1" applyFill="1" applyBorder="1" applyAlignment="1">
      <alignment horizontal="center" shrinkToFit="1"/>
    </xf>
    <xf numFmtId="165" fontId="2" fillId="0" borderId="5" xfId="0" applyNumberFormat="1" applyFont="1" applyFill="1" applyBorder="1" applyAlignment="1">
      <alignment wrapText="1" shrinkToFit="1"/>
    </xf>
    <xf numFmtId="165" fontId="23" fillId="0" borderId="12" xfId="0" applyNumberFormat="1" applyFont="1" applyFill="1" applyBorder="1" applyAlignment="1">
      <alignment wrapText="1" shrinkToFit="1"/>
    </xf>
    <xf numFmtId="165" fontId="23" fillId="0" borderId="11" xfId="0" applyNumberFormat="1" applyFont="1" applyFill="1" applyBorder="1" applyAlignment="1">
      <alignment wrapText="1" shrinkToFit="1"/>
    </xf>
    <xf numFmtId="0" fontId="9" fillId="0" borderId="4" xfId="0" applyFont="1" applyFill="1" applyBorder="1" applyAlignment="1"/>
    <xf numFmtId="0" fontId="23" fillId="0" borderId="1" xfId="0" applyFont="1" applyFill="1" applyBorder="1" applyAlignment="1"/>
    <xf numFmtId="0" fontId="2" fillId="0" borderId="10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 shrinkToFit="1"/>
    </xf>
    <xf numFmtId="0" fontId="17" fillId="0" borderId="12" xfId="0" applyFont="1" applyFill="1" applyBorder="1" applyAlignment="1">
      <alignment horizontal="center" vertical="center" wrapText="1" shrinkToFit="1"/>
    </xf>
    <xf numFmtId="0" fontId="17" fillId="0" borderId="11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textRotation="45" shrinkToFit="1"/>
    </xf>
    <xf numFmtId="0" fontId="2" fillId="0" borderId="12" xfId="0" applyFont="1" applyFill="1" applyBorder="1" applyAlignment="1">
      <alignment horizontal="center" vertical="center" textRotation="45" shrinkToFit="1"/>
    </xf>
    <xf numFmtId="0" fontId="23" fillId="0" borderId="11" xfId="0" applyFont="1" applyBorder="1" applyAlignment="1">
      <alignment horizontal="center" shrinkToFit="1"/>
    </xf>
    <xf numFmtId="0" fontId="2" fillId="0" borderId="1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shrinkToFit="1"/>
    </xf>
    <xf numFmtId="2" fontId="2" fillId="0" borderId="17" xfId="0" applyNumberFormat="1" applyFont="1" applyFill="1" applyBorder="1" applyAlignment="1">
      <alignment horizontal="center" vertical="center" shrinkToFi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vertical="center" wrapText="1" shrinkToFit="1"/>
    </xf>
    <xf numFmtId="0" fontId="23" fillId="0" borderId="1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/>
    <xf numFmtId="0" fontId="2" fillId="0" borderId="71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shrinkToFit="1"/>
    </xf>
    <xf numFmtId="165" fontId="2" fillId="0" borderId="5" xfId="0" applyNumberFormat="1" applyFont="1" applyFill="1" applyBorder="1" applyAlignment="1">
      <alignment horizontal="center" wrapText="1" shrinkToFit="1"/>
    </xf>
    <xf numFmtId="165" fontId="23" fillId="0" borderId="12" xfId="0" applyNumberFormat="1" applyFont="1" applyFill="1" applyBorder="1" applyAlignment="1">
      <alignment horizontal="center" wrapText="1" shrinkToFit="1"/>
    </xf>
    <xf numFmtId="165" fontId="23" fillId="0" borderId="11" xfId="0" applyNumberFormat="1" applyFont="1" applyFill="1" applyBorder="1" applyAlignment="1">
      <alignment horizontal="center" wrapText="1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2" fontId="2" fillId="0" borderId="5" xfId="0" applyNumberFormat="1" applyFont="1" applyFill="1" applyBorder="1" applyAlignment="1">
      <alignment horizontal="center" wrapText="1" shrinkToFit="1"/>
    </xf>
    <xf numFmtId="2" fontId="23" fillId="0" borderId="12" xfId="0" applyNumberFormat="1" applyFont="1" applyFill="1" applyBorder="1" applyAlignment="1">
      <alignment horizontal="center" wrapText="1" shrinkToFit="1"/>
    </xf>
    <xf numFmtId="2" fontId="23" fillId="0" borderId="11" xfId="0" applyNumberFormat="1" applyFont="1" applyFill="1" applyBorder="1" applyAlignment="1">
      <alignment horizontal="center" wrapText="1" shrinkToFit="1"/>
    </xf>
    <xf numFmtId="0" fontId="2" fillId="0" borderId="2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46" shrinkToFit="1"/>
    </xf>
    <xf numFmtId="0" fontId="2" fillId="0" borderId="12" xfId="0" applyFont="1" applyFill="1" applyBorder="1" applyAlignment="1">
      <alignment horizontal="center" vertical="center" textRotation="46" shrinkToFit="1"/>
    </xf>
    <xf numFmtId="0" fontId="23" fillId="0" borderId="11" xfId="0" applyFont="1" applyBorder="1" applyAlignment="1">
      <alignment horizontal="center" textRotation="46"/>
    </xf>
    <xf numFmtId="0" fontId="23" fillId="0" borderId="9" xfId="0" applyFont="1" applyBorder="1" applyAlignment="1">
      <alignment horizontal="center" shrinkToFit="1"/>
    </xf>
    <xf numFmtId="0" fontId="23" fillId="0" borderId="13" xfId="0" applyFont="1" applyBorder="1" applyAlignment="1">
      <alignment horizontal="center" shrinkToFit="1"/>
    </xf>
    <xf numFmtId="0" fontId="9" fillId="0" borderId="41" xfId="0" applyFont="1" applyFill="1" applyBorder="1" applyAlignment="1"/>
    <xf numFmtId="0" fontId="23" fillId="0" borderId="0" xfId="0" applyFont="1" applyFill="1" applyBorder="1" applyAlignment="1"/>
    <xf numFmtId="0" fontId="23" fillId="0" borderId="0" xfId="0" applyFont="1" applyFill="1" applyAlignment="1"/>
    <xf numFmtId="0" fontId="2" fillId="0" borderId="4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" fontId="2" fillId="0" borderId="35" xfId="0" applyNumberFormat="1" applyFont="1" applyFill="1" applyBorder="1" applyAlignment="1">
      <alignment horizontal="right" shrinkToFit="1"/>
    </xf>
    <xf numFmtId="2" fontId="2" fillId="0" borderId="16" xfId="0" applyNumberFormat="1" applyFont="1" applyFill="1" applyBorder="1" applyAlignment="1">
      <alignment horizontal="right" shrinkToFit="1"/>
    </xf>
    <xf numFmtId="2" fontId="2" fillId="0" borderId="19" xfId="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left"/>
    </xf>
    <xf numFmtId="2" fontId="2" fillId="0" borderId="18" xfId="0" applyNumberFormat="1" applyFont="1" applyFill="1" applyBorder="1" applyAlignment="1">
      <alignment horizontal="left"/>
    </xf>
    <xf numFmtId="0" fontId="23" fillId="0" borderId="11" xfId="0" applyFont="1" applyBorder="1" applyAlignment="1">
      <alignment horizontal="center" textRotation="46" shrinkToFit="1"/>
    </xf>
    <xf numFmtId="0" fontId="2" fillId="0" borderId="1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shrinkToFit="1"/>
    </xf>
    <xf numFmtId="0" fontId="23" fillId="0" borderId="25" xfId="0" applyFont="1" applyFill="1" applyBorder="1" applyAlignment="1">
      <alignment shrinkToFit="1"/>
    </xf>
    <xf numFmtId="0" fontId="2" fillId="0" borderId="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2" fontId="9" fillId="0" borderId="0" xfId="0" applyNumberFormat="1" applyFont="1" applyFill="1" applyAlignment="1">
      <alignment horizontal="center"/>
    </xf>
    <xf numFmtId="2" fontId="2" fillId="0" borderId="12" xfId="0" applyNumberFormat="1" applyFont="1" applyFill="1" applyBorder="1" applyAlignment="1">
      <alignment horizontal="center" shrinkToFit="1"/>
    </xf>
    <xf numFmtId="2" fontId="2" fillId="0" borderId="11" xfId="0" applyNumberFormat="1" applyFont="1" applyFill="1" applyBorder="1" applyAlignment="1">
      <alignment horizontal="center" shrinkToFit="1"/>
    </xf>
    <xf numFmtId="0" fontId="2" fillId="0" borderId="43" xfId="0" applyFont="1" applyFill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9" fillId="0" borderId="15" xfId="0" applyFont="1" applyBorder="1" applyAlignment="1">
      <alignment horizontal="center" shrinkToFit="1"/>
    </xf>
    <xf numFmtId="2" fontId="10" fillId="0" borderId="5" xfId="0" applyNumberFormat="1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2" fontId="2" fillId="0" borderId="19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/>
    <xf numFmtId="0" fontId="9" fillId="0" borderId="17" xfId="0" applyFont="1" applyBorder="1" applyAlignment="1"/>
    <xf numFmtId="0" fontId="6" fillId="0" borderId="9" xfId="0" applyFont="1" applyFill="1" applyBorder="1" applyAlignment="1">
      <alignment horizontal="center"/>
    </xf>
    <xf numFmtId="0" fontId="9" fillId="0" borderId="0" xfId="0" applyFont="1" applyBorder="1" applyAlignment="1"/>
    <xf numFmtId="0" fontId="9" fillId="0" borderId="18" xfId="0" applyFont="1" applyBorder="1" applyAlignment="1"/>
    <xf numFmtId="0" fontId="2" fillId="0" borderId="9" xfId="0" applyFont="1" applyFill="1" applyBorder="1"/>
    <xf numFmtId="0" fontId="2" fillId="0" borderId="0" xfId="0" applyFont="1" applyFill="1" applyBorder="1" applyAlignment="1">
      <alignment horizontal="left"/>
    </xf>
    <xf numFmtId="0" fontId="9" fillId="0" borderId="0" xfId="0" applyFont="1" applyAlignment="1"/>
    <xf numFmtId="0" fontId="2" fillId="0" borderId="13" xfId="0" applyFont="1" applyFill="1" applyBorder="1" applyAlignment="1"/>
    <xf numFmtId="0" fontId="9" fillId="0" borderId="25" xfId="0" applyFont="1" applyFill="1" applyBorder="1" applyAlignment="1"/>
    <xf numFmtId="0" fontId="2" fillId="0" borderId="5" xfId="0" applyFont="1" applyFill="1" applyBorder="1" applyAlignment="1">
      <alignment horizontal="center" vertical="center" textRotation="42" shrinkToFit="1"/>
    </xf>
    <xf numFmtId="0" fontId="2" fillId="0" borderId="12" xfId="0" applyFont="1" applyFill="1" applyBorder="1" applyAlignment="1">
      <alignment horizontal="center" vertical="center" textRotation="42" shrinkToFit="1"/>
    </xf>
    <xf numFmtId="0" fontId="23" fillId="0" borderId="11" xfId="0" applyFont="1" applyBorder="1" applyAlignment="1">
      <alignment horizontal="center" textRotation="42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shrinkToFit="1"/>
    </xf>
    <xf numFmtId="1" fontId="2" fillId="0" borderId="0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2" fontId="2" fillId="0" borderId="18" xfId="0" applyNumberFormat="1" applyFont="1" applyFill="1" applyBorder="1" applyAlignment="1">
      <alignment horizontal="center"/>
    </xf>
    <xf numFmtId="0" fontId="6" fillId="0" borderId="19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2" fontId="23" fillId="0" borderId="25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3" fillId="0" borderId="25" xfId="0" applyFont="1" applyBorder="1" applyAlignment="1"/>
    <xf numFmtId="0" fontId="3" fillId="0" borderId="43" xfId="0" quotePrefix="1" applyFont="1" applyBorder="1" applyAlignment="1">
      <alignment horizontal="center" vertical="center"/>
    </xf>
    <xf numFmtId="0" fontId="3" fillId="0" borderId="27" xfId="0" quotePrefix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quotePrefix="1" applyFont="1" applyAlignment="1">
      <alignment horizontal="left"/>
    </xf>
    <xf numFmtId="0" fontId="3" fillId="0" borderId="0" xfId="0" applyFont="1" applyAlignment="1"/>
    <xf numFmtId="2" fontId="3" fillId="0" borderId="19" xfId="0" applyNumberFormat="1" applyFont="1" applyBorder="1" applyAlignment="1">
      <alignment horizontal="center" wrapText="1" shrinkToFit="1"/>
    </xf>
    <xf numFmtId="0" fontId="3" fillId="0" borderId="38" xfId="0" applyFont="1" applyBorder="1" applyAlignment="1">
      <alignment horizontal="center"/>
    </xf>
    <xf numFmtId="2" fontId="3" fillId="0" borderId="69" xfId="0" applyNumberFormat="1" applyFont="1" applyBorder="1" applyAlignment="1">
      <alignment horizontal="center" vertical="center" wrapText="1" shrinkToFit="1"/>
    </xf>
    <xf numFmtId="0" fontId="3" fillId="0" borderId="70" xfId="0" applyFont="1" applyBorder="1" applyAlignment="1">
      <alignment horizontal="center" vertical="center" wrapText="1" shrinkToFit="1"/>
    </xf>
    <xf numFmtId="0" fontId="3" fillId="0" borderId="43" xfId="0" quotePrefix="1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2" fontId="3" fillId="0" borderId="5" xfId="0" applyNumberFormat="1" applyFont="1" applyBorder="1" applyAlignment="1">
      <alignment horizontal="center" wrapText="1" shrinkToFit="1"/>
    </xf>
    <xf numFmtId="0" fontId="3" fillId="0" borderId="11" xfId="0" applyFont="1" applyBorder="1" applyAlignment="1">
      <alignment horizontal="center"/>
    </xf>
    <xf numFmtId="2" fontId="3" fillId="0" borderId="6" xfId="0" applyNumberFormat="1" applyFont="1" applyFill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166" fontId="6" fillId="0" borderId="20" xfId="3" applyNumberFormat="1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center" vertical="center" wrapText="1"/>
    </xf>
    <xf numFmtId="166" fontId="6" fillId="0" borderId="6" xfId="3" applyNumberFormat="1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center" wrapText="1"/>
    </xf>
    <xf numFmtId="166" fontId="6" fillId="0" borderId="6" xfId="3" applyNumberFormat="1" applyFont="1" applyFill="1" applyBorder="1" applyAlignment="1">
      <alignment horizontal="center" wrapText="1"/>
    </xf>
    <xf numFmtId="1" fontId="6" fillId="0" borderId="20" xfId="3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1" fontId="6" fillId="0" borderId="6" xfId="3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6" fillId="0" borderId="25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/>
    </xf>
    <xf numFmtId="2" fontId="6" fillId="0" borderId="20" xfId="3" applyNumberFormat="1" applyFont="1" applyFill="1" applyBorder="1" applyAlignment="1">
      <alignment horizontal="center" vertical="center" wrapText="1"/>
    </xf>
    <xf numFmtId="2" fontId="6" fillId="0" borderId="1" xfId="3" applyNumberFormat="1" applyFont="1" applyFill="1" applyBorder="1" applyAlignment="1">
      <alignment horizontal="center" vertical="center" wrapText="1"/>
    </xf>
    <xf numFmtId="2" fontId="6" fillId="0" borderId="6" xfId="3" applyNumberFormat="1" applyFont="1" applyFill="1" applyBorder="1" applyAlignment="1">
      <alignment horizontal="center" vertical="center" wrapText="1"/>
    </xf>
    <xf numFmtId="2" fontId="3" fillId="0" borderId="20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6" xfId="3" applyNumberFormat="1" applyFont="1" applyFill="1" applyBorder="1" applyAlignment="1">
      <alignment horizontal="center" vertical="center" wrapText="1"/>
    </xf>
    <xf numFmtId="2" fontId="6" fillId="0" borderId="72" xfId="3" applyNumberFormat="1" applyFont="1" applyFill="1" applyBorder="1" applyAlignment="1">
      <alignment horizontal="center" vertical="center" wrapText="1"/>
    </xf>
    <xf numFmtId="2" fontId="6" fillId="0" borderId="73" xfId="3" applyNumberFormat="1" applyFont="1" applyFill="1" applyBorder="1" applyAlignment="1">
      <alignment horizontal="center" vertical="center" wrapText="1"/>
    </xf>
    <xf numFmtId="2" fontId="6" fillId="0" borderId="74" xfId="3" applyNumberFormat="1" applyFont="1" applyFill="1" applyBorder="1" applyAlignment="1">
      <alignment horizontal="center" vertical="center" wrapText="1"/>
    </xf>
    <xf numFmtId="2" fontId="6" fillId="0" borderId="43" xfId="0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2" fontId="6" fillId="0" borderId="41" xfId="3" applyNumberFormat="1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166" fontId="6" fillId="0" borderId="33" xfId="3" applyNumberFormat="1" applyFont="1" applyFill="1" applyBorder="1" applyAlignment="1">
      <alignment horizontal="center" vertical="center" wrapText="1"/>
    </xf>
    <xf numFmtId="166" fontId="6" fillId="0" borderId="4" xfId="3" applyNumberFormat="1" applyFont="1" applyFill="1" applyBorder="1" applyAlignment="1">
      <alignment horizontal="center" vertical="center" wrapText="1"/>
    </xf>
    <xf numFmtId="166" fontId="6" fillId="0" borderId="31" xfId="3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/>
    <xf numFmtId="0" fontId="23" fillId="0" borderId="0" xfId="0" applyFont="1" applyAlignment="1"/>
    <xf numFmtId="0" fontId="23" fillId="0" borderId="18" xfId="0" applyFont="1" applyBorder="1" applyAlignment="1"/>
    <xf numFmtId="0" fontId="3" fillId="0" borderId="4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18" fillId="0" borderId="10" xfId="0" applyNumberFormat="1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shrinkToFit="1"/>
    </xf>
    <xf numFmtId="2" fontId="18" fillId="0" borderId="13" xfId="0" applyNumberFormat="1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2" fontId="3" fillId="0" borderId="54" xfId="3" applyNumberFormat="1" applyFont="1" applyFill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2" fontId="18" fillId="0" borderId="13" xfId="0" applyNumberFormat="1" applyFont="1" applyBorder="1" applyAlignment="1">
      <alignment horizontal="center" vertical="center"/>
    </xf>
    <xf numFmtId="2" fontId="18" fillId="0" borderId="25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2" fontId="35" fillId="3" borderId="0" xfId="0" applyNumberFormat="1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6" fillId="0" borderId="5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16" fillId="3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4" fillId="0" borderId="0" xfId="0" applyFont="1" applyAlignment="1"/>
    <xf numFmtId="0" fontId="30" fillId="0" borderId="0" xfId="0" applyFont="1" applyBorder="1" applyAlignment="1" applyProtection="1">
      <alignment horizontal="justify"/>
      <protection locked="0"/>
    </xf>
    <xf numFmtId="0" fontId="30" fillId="0" borderId="18" xfId="0" applyFont="1" applyBorder="1" applyAlignment="1" applyProtection="1">
      <alignment horizontal="justify"/>
      <protection locked="0"/>
    </xf>
    <xf numFmtId="0" fontId="16" fillId="0" borderId="13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wrapText="1"/>
    </xf>
    <xf numFmtId="2" fontId="7" fillId="0" borderId="11" xfId="0" applyNumberFormat="1" applyFont="1" applyBorder="1" applyAlignment="1">
      <alignment wrapText="1"/>
    </xf>
    <xf numFmtId="0" fontId="4" fillId="0" borderId="15" xfId="0" applyFont="1" applyBorder="1" applyAlignment="1"/>
    <xf numFmtId="0" fontId="16" fillId="0" borderId="13" xfId="0" applyFont="1" applyBorder="1" applyAlignment="1" applyProtection="1">
      <alignment horizontal="left"/>
      <protection locked="0"/>
    </xf>
    <xf numFmtId="0" fontId="16" fillId="0" borderId="25" xfId="0" applyFont="1" applyBorder="1" applyAlignment="1" applyProtection="1">
      <alignment horizontal="left"/>
      <protection locked="0"/>
    </xf>
    <xf numFmtId="0" fontId="16" fillId="0" borderId="8" xfId="0" applyFont="1" applyBorder="1" applyAlignment="1" applyProtection="1">
      <alignment horizontal="left"/>
      <protection locked="0"/>
    </xf>
    <xf numFmtId="0" fontId="16" fillId="0" borderId="10" xfId="0" applyFont="1" applyBorder="1" applyAlignment="1">
      <alignment horizontal="justify"/>
    </xf>
    <xf numFmtId="0" fontId="16" fillId="0" borderId="19" xfId="0" applyFont="1" applyBorder="1" applyAlignment="1">
      <alignment horizontal="justify"/>
    </xf>
    <xf numFmtId="14" fontId="16" fillId="0" borderId="10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17" xfId="0" applyFont="1" applyBorder="1" applyAlignment="1">
      <alignment horizontal="justify"/>
    </xf>
    <xf numFmtId="0" fontId="16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6" fillId="0" borderId="5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 wrapText="1"/>
    </xf>
    <xf numFmtId="2" fontId="31" fillId="0" borderId="12" xfId="0" applyNumberFormat="1" applyFont="1" applyFill="1" applyBorder="1" applyAlignment="1">
      <alignment wrapText="1"/>
    </xf>
    <xf numFmtId="2" fontId="31" fillId="0" borderId="11" xfId="0" applyNumberFormat="1" applyFont="1" applyFill="1" applyBorder="1" applyAlignment="1">
      <alignment wrapText="1"/>
    </xf>
    <xf numFmtId="0" fontId="16" fillId="0" borderId="43" xfId="0" applyFont="1" applyFill="1" applyBorder="1" applyAlignment="1">
      <alignment horizontal="center"/>
    </xf>
    <xf numFmtId="0" fontId="4" fillId="0" borderId="15" xfId="0" applyFont="1" applyFill="1" applyBorder="1" applyAlignment="1"/>
    <xf numFmtId="0" fontId="16" fillId="0" borderId="9" xfId="0" applyFont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wrapText="1"/>
    </xf>
    <xf numFmtId="2" fontId="9" fillId="0" borderId="11" xfId="0" applyNumberFormat="1" applyFont="1" applyBorder="1" applyAlignment="1">
      <alignment wrapText="1"/>
    </xf>
    <xf numFmtId="165" fontId="30" fillId="0" borderId="0" xfId="0" applyNumberFormat="1" applyFont="1" applyFill="1" applyBorder="1" applyAlignment="1" applyProtection="1">
      <alignment horizontal="justify"/>
      <protection locked="0"/>
    </xf>
    <xf numFmtId="0" fontId="30" fillId="0" borderId="0" xfId="0" applyFont="1" applyFill="1" applyBorder="1" applyAlignment="1" applyProtection="1">
      <alignment horizontal="justify"/>
      <protection locked="0"/>
    </xf>
    <xf numFmtId="0" fontId="30" fillId="0" borderId="18" xfId="0" applyFont="1" applyFill="1" applyBorder="1" applyAlignment="1" applyProtection="1">
      <alignment horizontal="justify"/>
      <protection locked="0"/>
    </xf>
    <xf numFmtId="0" fontId="16" fillId="0" borderId="13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6" fillId="0" borderId="15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justify"/>
    </xf>
    <xf numFmtId="0" fontId="16" fillId="0" borderId="19" xfId="0" applyFont="1" applyFill="1" applyBorder="1" applyAlignment="1">
      <alignment horizontal="justify"/>
    </xf>
    <xf numFmtId="14" fontId="16" fillId="0" borderId="10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justify"/>
    </xf>
    <xf numFmtId="0" fontId="16" fillId="0" borderId="10" xfId="0" applyFont="1" applyFill="1" applyBorder="1" applyAlignment="1">
      <alignment horizontal="center" vertical="center"/>
    </xf>
    <xf numFmtId="0" fontId="16" fillId="0" borderId="13" xfId="0" applyFont="1" applyFill="1" applyBorder="1" applyAlignment="1" applyProtection="1">
      <alignment horizontal="left"/>
      <protection locked="0"/>
    </xf>
    <xf numFmtId="0" fontId="16" fillId="0" borderId="25" xfId="0" applyFont="1" applyFill="1" applyBorder="1" applyAlignment="1" applyProtection="1">
      <alignment horizontal="left"/>
      <protection locked="0"/>
    </xf>
    <xf numFmtId="0" fontId="16" fillId="0" borderId="8" xfId="0" applyFont="1" applyFill="1" applyBorder="1" applyAlignment="1" applyProtection="1">
      <alignment horizontal="left"/>
      <protection locked="0"/>
    </xf>
    <xf numFmtId="2" fontId="4" fillId="0" borderId="13" xfId="0" applyNumberFormat="1" applyFont="1" applyFill="1" applyBorder="1" applyAlignment="1">
      <alignment horizontal="center"/>
    </xf>
    <xf numFmtId="2" fontId="4" fillId="0" borderId="25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left"/>
      <protection locked="0"/>
    </xf>
    <xf numFmtId="0" fontId="4" fillId="0" borderId="25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14" fontId="16" fillId="0" borderId="10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65" fontId="19" fillId="0" borderId="0" xfId="0" applyNumberFormat="1" applyFont="1" applyBorder="1" applyAlignment="1" applyProtection="1">
      <alignment horizontal="justify"/>
      <protection locked="0"/>
    </xf>
    <xf numFmtId="2" fontId="17" fillId="0" borderId="5" xfId="0" applyNumberFormat="1" applyFont="1" applyBorder="1" applyAlignment="1">
      <alignment horizontal="center" vertical="center" wrapText="1"/>
    </xf>
    <xf numFmtId="2" fontId="31" fillId="0" borderId="12" xfId="0" applyNumberFormat="1" applyFont="1" applyBorder="1" applyAlignment="1">
      <alignment wrapText="1"/>
    </xf>
    <xf numFmtId="2" fontId="31" fillId="0" borderId="11" xfId="0" applyNumberFormat="1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4" fontId="16" fillId="0" borderId="10" xfId="0" applyNumberFormat="1" applyFont="1" applyBorder="1" applyAlignment="1" applyProtection="1">
      <alignment horizontal="center" vertical="center" wrapText="1"/>
      <protection locked="0"/>
    </xf>
    <xf numFmtId="14" fontId="16" fillId="0" borderId="17" xfId="0" applyNumberFormat="1" applyFont="1" applyBorder="1" applyAlignment="1">
      <alignment horizontal="center" vertical="center" wrapText="1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8" xfId="0" applyNumberFormat="1" applyFont="1" applyBorder="1" applyAlignment="1">
      <alignment horizontal="center" vertical="center" wrapText="1"/>
    </xf>
    <xf numFmtId="2" fontId="16" fillId="0" borderId="29" xfId="0" applyNumberFormat="1" applyFont="1" applyFill="1" applyBorder="1" applyAlignment="1">
      <alignment horizontal="left"/>
    </xf>
    <xf numFmtId="0" fontId="16" fillId="0" borderId="2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32" fillId="0" borderId="0" xfId="0" applyNumberFormat="1" applyFont="1" applyBorder="1" applyAlignment="1" applyProtection="1">
      <alignment horizontal="justify"/>
      <protection locked="0"/>
    </xf>
    <xf numFmtId="0" fontId="32" fillId="0" borderId="0" xfId="0" applyFont="1" applyBorder="1" applyAlignment="1" applyProtection="1">
      <alignment horizontal="justify"/>
      <protection locked="0"/>
    </xf>
    <xf numFmtId="0" fontId="32" fillId="0" borderId="18" xfId="0" applyFont="1" applyBorder="1" applyAlignment="1" applyProtection="1">
      <alignment horizontal="justify"/>
      <protection locked="0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 wrapText="1"/>
    </xf>
    <xf numFmtId="0" fontId="5" fillId="0" borderId="8" xfId="0" applyFont="1" applyBorder="1" applyAlignment="1"/>
    <xf numFmtId="2" fontId="5" fillId="0" borderId="13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3" fillId="0" borderId="10" xfId="0" applyFont="1" applyBorder="1" applyAlignment="1">
      <alignment horizontal="justify"/>
    </xf>
    <xf numFmtId="0" fontId="3" fillId="0" borderId="19" xfId="0" applyFont="1" applyBorder="1" applyAlignment="1">
      <alignment horizontal="justify"/>
    </xf>
    <xf numFmtId="0" fontId="3" fillId="0" borderId="17" xfId="0" applyFont="1" applyBorder="1" applyAlignment="1">
      <alignment horizontal="justify"/>
    </xf>
    <xf numFmtId="0" fontId="3" fillId="0" borderId="4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14" fontId="3" fillId="0" borderId="1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2" fontId="33" fillId="3" borderId="0" xfId="0" applyNumberFormat="1" applyFont="1" applyFill="1" applyBorder="1" applyAlignment="1">
      <alignment horizontal="center" wrapText="1"/>
    </xf>
    <xf numFmtId="2" fontId="36" fillId="3" borderId="0" xfId="0" applyNumberFormat="1" applyFont="1" applyFill="1" applyBorder="1" applyAlignment="1">
      <alignment horizontal="center" wrapText="1"/>
    </xf>
    <xf numFmtId="0" fontId="5" fillId="0" borderId="10" xfId="0" applyFont="1" applyBorder="1" applyAlignment="1" applyProtection="1">
      <alignment horizontal="center"/>
      <protection locked="0"/>
    </xf>
    <xf numFmtId="0" fontId="9" fillId="0" borderId="17" xfId="0" applyFont="1" applyBorder="1" applyAlignment="1">
      <alignment horizontal="center"/>
    </xf>
    <xf numFmtId="0" fontId="5" fillId="0" borderId="13" xfId="0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/>
    </xf>
    <xf numFmtId="0" fontId="3" fillId="0" borderId="69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shrinkToFit="1"/>
    </xf>
    <xf numFmtId="2" fontId="3" fillId="0" borderId="15" xfId="0" applyNumberFormat="1" applyFont="1" applyBorder="1" applyAlignment="1">
      <alignment horizontal="center" vertical="center" shrinkToFit="1"/>
    </xf>
    <xf numFmtId="2" fontId="3" fillId="0" borderId="5" xfId="0" applyNumberFormat="1" applyFont="1" applyBorder="1" applyAlignment="1">
      <alignment horizontal="center" vertical="center" shrinkToFit="1"/>
    </xf>
    <xf numFmtId="2" fontId="3" fillId="0" borderId="12" xfId="0" applyNumberFormat="1" applyFont="1" applyBorder="1" applyAlignment="1">
      <alignment horizontal="center" vertical="center" shrinkToFit="1"/>
    </xf>
    <xf numFmtId="2" fontId="10" fillId="0" borderId="5" xfId="0" applyNumberFormat="1" applyFont="1" applyBorder="1" applyAlignment="1">
      <alignment horizontal="center" vertical="center" textRotation="41" shrinkToFit="1"/>
    </xf>
    <xf numFmtId="2" fontId="10" fillId="0" borderId="11" xfId="0" applyNumberFormat="1" applyFont="1" applyBorder="1" applyAlignment="1">
      <alignment horizontal="center" vertical="center" textRotation="4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2" fontId="3" fillId="0" borderId="5" xfId="0" applyNumberFormat="1" applyFont="1" applyBorder="1" applyAlignment="1">
      <alignment horizontal="center" vertical="center" wrapText="1" shrinkToFit="1"/>
    </xf>
    <xf numFmtId="2" fontId="3" fillId="0" borderId="12" xfId="0" applyNumberFormat="1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6" fillId="3" borderId="1" xfId="0" applyFont="1" applyFill="1" applyBorder="1" applyAlignment="1">
      <alignment vertical="top" wrapText="1"/>
    </xf>
    <xf numFmtId="2" fontId="26" fillId="3" borderId="1" xfId="0" applyNumberFormat="1" applyFont="1" applyFill="1" applyBorder="1" applyAlignment="1">
      <alignment horizontal="right"/>
    </xf>
    <xf numFmtId="0" fontId="18" fillId="3" borderId="25" xfId="0" applyFont="1" applyFill="1" applyBorder="1" applyAlignment="1">
      <alignment horizontal="center" vertical="center" wrapText="1"/>
    </xf>
    <xf numFmtId="0" fontId="18" fillId="3" borderId="75" xfId="0" applyFont="1" applyFill="1" applyBorder="1" applyAlignment="1">
      <alignment horizontal="center" wrapText="1"/>
    </xf>
    <xf numFmtId="0" fontId="18" fillId="3" borderId="33" xfId="0" applyFont="1" applyFill="1" applyBorder="1" applyAlignment="1">
      <alignment horizontal="center" wrapText="1"/>
    </xf>
    <xf numFmtId="0" fontId="18" fillId="3" borderId="62" xfId="0" applyFont="1" applyFill="1" applyBorder="1" applyAlignment="1">
      <alignment horizontal="center" wrapText="1"/>
    </xf>
    <xf numFmtId="0" fontId="18" fillId="3" borderId="20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</cellXfs>
  <cellStyles count="5">
    <cellStyle name="Hipervínculo" xfId="1" builtinId="8"/>
    <cellStyle name="Millares" xfId="2" builtinId="3"/>
    <cellStyle name="Normal" xfId="0" builtinId="0"/>
    <cellStyle name="Normal 2" xfId="3"/>
    <cellStyle name="Normal 3" xfId="4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MATERIALES 2015'!A203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MATERIALES 2015'!A148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CT PAPA'!A1"/><Relationship Id="rId2" Type="http://schemas.openxmlformats.org/officeDocument/2006/relationships/hyperlink" Target="#'FICHA DE COSTO'!C285"/><Relationship Id="rId1" Type="http://schemas.openxmlformats.org/officeDocument/2006/relationships/hyperlink" Target="#'FICHA DE COSTO'!C331"/><Relationship Id="rId4" Type="http://schemas.openxmlformats.org/officeDocument/2006/relationships/hyperlink" Target="#'CT BONIATO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TERIALES 2015'!A182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MATERIALES 2015'!A38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MATERIALES 2015'!A12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MATERIALES 2015'!A94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MATERIALES 2015'!A66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MATERIALES 2015'!A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6</xdr:col>
      <xdr:colOff>545884</xdr:colOff>
      <xdr:row>35</xdr:row>
      <xdr:rowOff>69850</xdr:rowOff>
    </xdr:to>
    <xdr:sp macro="" textlink="">
      <xdr:nvSpPr>
        <xdr:cNvPr id="2" name="1 CuadroTexto"/>
        <xdr:cNvSpPr txBox="1"/>
      </xdr:nvSpPr>
      <xdr:spPr>
        <a:xfrm>
          <a:off x="0" y="2724150"/>
          <a:ext cx="5706533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400"/>
            <a:t>* La</a:t>
          </a:r>
          <a:r>
            <a:rPr lang="es-ES" sz="1400" baseline="0"/>
            <a:t> propuesta de precios del MFP no incluyó el boniato ni la yuca</a:t>
          </a:r>
          <a:endParaRPr lang="es-ES" sz="1400"/>
        </a:p>
        <a:p>
          <a:r>
            <a:rPr lang="es-ES" sz="1400"/>
            <a:t>* Consideramos los rendimientos con tecnología de bajos insumos</a:t>
          </a:r>
        </a:p>
        <a:p>
          <a:r>
            <a:rPr lang="es-ES" sz="1400"/>
            <a:t>* El 50% del combustible se calculó a 2 pesos</a:t>
          </a:r>
          <a:r>
            <a:rPr lang="es-ES" sz="1400" baseline="0"/>
            <a:t> el litro y el resto a 25 pesos</a:t>
          </a:r>
        </a:p>
        <a:p>
          <a:r>
            <a:rPr lang="es-ES" sz="1400" baseline="0"/>
            <a:t>*El salario se calculó a 100 pesos la jornada.</a:t>
          </a:r>
          <a:endParaRPr lang="es-ES" sz="14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1</xdr:row>
      <xdr:rowOff>0</xdr:rowOff>
    </xdr:from>
    <xdr:to>
      <xdr:col>18</xdr:col>
      <xdr:colOff>552450</xdr:colOff>
      <xdr:row>2</xdr:row>
      <xdr:rowOff>66675</xdr:rowOff>
    </xdr:to>
    <xdr:sp macro="" textlink="">
      <xdr:nvSpPr>
        <xdr:cNvPr id="2425" name="AutoShape 16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10800000">
          <a:off x="9848850" y="257175"/>
          <a:ext cx="466725" cy="266700"/>
        </a:xfrm>
        <a:prstGeom prst="notchedRightArrow">
          <a:avLst>
            <a:gd name="adj1" fmla="val 50000"/>
            <a:gd name="adj2" fmla="val 43750"/>
          </a:avLst>
        </a:prstGeom>
        <a:solidFill>
          <a:srgbClr val="C0C0C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</xdr:row>
      <xdr:rowOff>0</xdr:rowOff>
    </xdr:from>
    <xdr:to>
      <xdr:col>18</xdr:col>
      <xdr:colOff>152400</xdr:colOff>
      <xdr:row>2</xdr:row>
      <xdr:rowOff>66675</xdr:rowOff>
    </xdr:to>
    <xdr:sp macro="" textlink="">
      <xdr:nvSpPr>
        <xdr:cNvPr id="46438" name="AutoShape 14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10800000">
          <a:off x="9191625" y="257175"/>
          <a:ext cx="485775" cy="266700"/>
        </a:xfrm>
        <a:prstGeom prst="notchedRightArrow">
          <a:avLst>
            <a:gd name="adj1" fmla="val 50000"/>
            <a:gd name="adj2" fmla="val 45536"/>
          </a:avLst>
        </a:prstGeom>
        <a:solidFill>
          <a:srgbClr val="C0C0C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15</xdr:row>
      <xdr:rowOff>66675</xdr:rowOff>
    </xdr:from>
    <xdr:to>
      <xdr:col>0</xdr:col>
      <xdr:colOff>1038225</xdr:colOff>
      <xdr:row>16</xdr:row>
      <xdr:rowOff>76200</xdr:rowOff>
    </xdr:to>
    <xdr:sp macro="" textlink="">
      <xdr:nvSpPr>
        <xdr:cNvPr id="31057" name="Oval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09625" y="4000500"/>
          <a:ext cx="228600" cy="238125"/>
        </a:xfrm>
        <a:prstGeom prst="ellipse">
          <a:avLst/>
        </a:prstGeom>
        <a:solidFill>
          <a:srgbClr val="FFFF00"/>
        </a:solidFill>
        <a:ln w="88900" algn="ctr">
          <a:solidFill>
            <a:srgbClr val="0000FF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370205</xdr:colOff>
      <xdr:row>30</xdr:row>
      <xdr:rowOff>63500</xdr:rowOff>
    </xdr:from>
    <xdr:to>
      <xdr:col>8</xdr:col>
      <xdr:colOff>554355</xdr:colOff>
      <xdr:row>37</xdr:row>
      <xdr:rowOff>304800</xdr:rowOff>
    </xdr:to>
    <xdr:sp macro="" textlink="">
      <xdr:nvSpPr>
        <xdr:cNvPr id="76801" name="WordArt 1"/>
        <xdr:cNvSpPr>
          <a:spLocks noChangeArrowheads="1" noChangeShapeType="1" noTextEdit="1"/>
        </xdr:cNvSpPr>
      </xdr:nvSpPr>
      <xdr:spPr bwMode="auto">
        <a:xfrm rot="5400000">
          <a:off x="11988800" y="11791950"/>
          <a:ext cx="2686050" cy="18415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Resolución 4-2014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1</xdr:row>
      <xdr:rowOff>0</xdr:rowOff>
    </xdr:from>
    <xdr:to>
      <xdr:col>10</xdr:col>
      <xdr:colOff>933450</xdr:colOff>
      <xdr:row>1</xdr:row>
      <xdr:rowOff>0</xdr:rowOff>
    </xdr:to>
    <xdr:sp macro="" textlink="">
      <xdr:nvSpPr>
        <xdr:cNvPr id="85556" name="AutoShape 27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10800000">
          <a:off x="7648575" y="257175"/>
          <a:ext cx="419100" cy="0"/>
        </a:xfrm>
        <a:prstGeom prst="notchedRightArrow">
          <a:avLst>
            <a:gd name="adj1" fmla="val 50000"/>
            <a:gd name="adj2" fmla="val -2147483648"/>
          </a:avLst>
        </a:prstGeom>
        <a:solidFill>
          <a:srgbClr val="969696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514350</xdr:colOff>
      <xdr:row>2</xdr:row>
      <xdr:rowOff>76200</xdr:rowOff>
    </xdr:from>
    <xdr:to>
      <xdr:col>10</xdr:col>
      <xdr:colOff>933450</xdr:colOff>
      <xdr:row>3</xdr:row>
      <xdr:rowOff>95250</xdr:rowOff>
    </xdr:to>
    <xdr:sp macro="" textlink="">
      <xdr:nvSpPr>
        <xdr:cNvPr id="85557" name="AutoShape 35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 rot="10800000">
          <a:off x="7648575" y="590550"/>
          <a:ext cx="419100" cy="276225"/>
        </a:xfrm>
        <a:prstGeom prst="notchedRightArrow">
          <a:avLst>
            <a:gd name="adj1" fmla="val 50000"/>
            <a:gd name="adj2" fmla="val 37931"/>
          </a:avLst>
        </a:prstGeom>
        <a:solidFill>
          <a:srgbClr val="969696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552450</xdr:colOff>
      <xdr:row>1</xdr:row>
      <xdr:rowOff>0</xdr:rowOff>
    </xdr:from>
    <xdr:to>
      <xdr:col>10</xdr:col>
      <xdr:colOff>981075</xdr:colOff>
      <xdr:row>1</xdr:row>
      <xdr:rowOff>0</xdr:rowOff>
    </xdr:to>
    <xdr:sp macro="" textlink="">
      <xdr:nvSpPr>
        <xdr:cNvPr id="85558" name="AutoShape 43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7686675" y="257175"/>
          <a:ext cx="428625" cy="0"/>
        </a:xfrm>
        <a:prstGeom prst="notched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552450</xdr:colOff>
      <xdr:row>4</xdr:row>
      <xdr:rowOff>152400</xdr:rowOff>
    </xdr:from>
    <xdr:to>
      <xdr:col>10</xdr:col>
      <xdr:colOff>971550</xdr:colOff>
      <xdr:row>5</xdr:row>
      <xdr:rowOff>171450</xdr:rowOff>
    </xdr:to>
    <xdr:sp macro="" textlink="">
      <xdr:nvSpPr>
        <xdr:cNvPr id="85559" name="AutoShape 44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7686675" y="1181100"/>
          <a:ext cx="419100" cy="276225"/>
        </a:xfrm>
        <a:prstGeom prst="notchedRightArrow">
          <a:avLst>
            <a:gd name="adj1" fmla="val 50000"/>
            <a:gd name="adj2" fmla="val 37931"/>
          </a:avLst>
        </a:prstGeom>
        <a:solidFill>
          <a:srgbClr val="C0C0C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379730</xdr:colOff>
      <xdr:row>1</xdr:row>
      <xdr:rowOff>15874</xdr:rowOff>
    </xdr:from>
    <xdr:to>
      <xdr:col>9</xdr:col>
      <xdr:colOff>687701</xdr:colOff>
      <xdr:row>2</xdr:row>
      <xdr:rowOff>83822</xdr:rowOff>
    </xdr:to>
    <xdr:sp macro="" textlink="">
      <xdr:nvSpPr>
        <xdr:cNvPr id="2" name="1 CuadroTexto"/>
        <xdr:cNvSpPr txBox="1"/>
      </xdr:nvSpPr>
      <xdr:spPr>
        <a:xfrm>
          <a:off x="2514600" y="186266"/>
          <a:ext cx="7289800" cy="651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200" b="1" i="1">
              <a:solidFill>
                <a:srgbClr val="0000FF"/>
              </a:solidFill>
            </a:rPr>
            <a:t>La estrategia para cada cultivo es</a:t>
          </a:r>
          <a:r>
            <a:rPr lang="es-ES" sz="1200" b="1" i="1" baseline="0">
              <a:solidFill>
                <a:srgbClr val="0000FF"/>
              </a:solidFill>
            </a:rPr>
            <a:t> la aprobada </a:t>
          </a:r>
          <a:r>
            <a:rPr lang="es-ES" sz="1200" b="1" i="1">
              <a:solidFill>
                <a:srgbClr val="0000FF"/>
              </a:solidFill>
            </a:rPr>
            <a:t>con la Dirección del Centro Nacional de  Sanidad Vegetal y se consideró</a:t>
          </a:r>
          <a:r>
            <a:rPr lang="es-ES" sz="1200" b="1" i="1" baseline="0">
              <a:solidFill>
                <a:srgbClr val="0000FF"/>
              </a:solidFill>
            </a:rPr>
            <a:t> además los criterios de  los especialistas de la Dirección de Cultivos Varios del MINAG para los cultivos que no la tienen.</a:t>
          </a:r>
          <a:endParaRPr lang="es-ES" sz="1200" b="1" i="1">
            <a:solidFill>
              <a:srgbClr val="0000FF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1</xdr:row>
      <xdr:rowOff>0</xdr:rowOff>
    </xdr:from>
    <xdr:to>
      <xdr:col>18</xdr:col>
      <xdr:colOff>581025</xdr:colOff>
      <xdr:row>2</xdr:row>
      <xdr:rowOff>66675</xdr:rowOff>
    </xdr:to>
    <xdr:sp macro="" textlink="">
      <xdr:nvSpPr>
        <xdr:cNvPr id="34152" name="AutoShape 14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10800000">
          <a:off x="9820275" y="257175"/>
          <a:ext cx="485775" cy="266700"/>
        </a:xfrm>
        <a:prstGeom prst="notchedRightArrow">
          <a:avLst>
            <a:gd name="adj1" fmla="val 50000"/>
            <a:gd name="adj2" fmla="val 45536"/>
          </a:avLst>
        </a:prstGeom>
        <a:solidFill>
          <a:srgbClr val="C0C0C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47625</xdr:rowOff>
    </xdr:from>
    <xdr:to>
      <xdr:col>20</xdr:col>
      <xdr:colOff>466725</xdr:colOff>
      <xdr:row>2</xdr:row>
      <xdr:rowOff>104775</xdr:rowOff>
    </xdr:to>
    <xdr:sp macro="" textlink="">
      <xdr:nvSpPr>
        <xdr:cNvPr id="28173" name="AutoShape 307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10800000">
          <a:off x="9610725" y="257175"/>
          <a:ext cx="466725" cy="266700"/>
        </a:xfrm>
        <a:prstGeom prst="notchedRightArrow">
          <a:avLst>
            <a:gd name="adj1" fmla="val 50000"/>
            <a:gd name="adj2" fmla="val 43750"/>
          </a:avLst>
        </a:prstGeom>
        <a:solidFill>
          <a:srgbClr val="C0C0C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390525</xdr:colOff>
      <xdr:row>2</xdr:row>
      <xdr:rowOff>0</xdr:rowOff>
    </xdr:from>
    <xdr:to>
      <xdr:col>20</xdr:col>
      <xdr:colOff>247650</xdr:colOff>
      <xdr:row>3</xdr:row>
      <xdr:rowOff>57150</xdr:rowOff>
    </xdr:to>
    <xdr:sp macro="" textlink="">
      <xdr:nvSpPr>
        <xdr:cNvPr id="47468" name="AutoShape 147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10800000">
          <a:off x="9363075" y="457200"/>
          <a:ext cx="476250" cy="266700"/>
        </a:xfrm>
        <a:prstGeom prst="notchedRightArrow">
          <a:avLst>
            <a:gd name="adj1" fmla="val 50000"/>
            <a:gd name="adj2" fmla="val 44643"/>
          </a:avLst>
        </a:prstGeom>
        <a:solidFill>
          <a:srgbClr val="C0C0C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381000</xdr:colOff>
      <xdr:row>1</xdr:row>
      <xdr:rowOff>0</xdr:rowOff>
    </xdr:from>
    <xdr:to>
      <xdr:col>20</xdr:col>
      <xdr:colOff>238125</xdr:colOff>
      <xdr:row>2</xdr:row>
      <xdr:rowOff>66675</xdr:rowOff>
    </xdr:to>
    <xdr:sp macro="" textlink="">
      <xdr:nvSpPr>
        <xdr:cNvPr id="32116" name="AutoShape 15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10800000">
          <a:off x="9324975" y="257175"/>
          <a:ext cx="476250" cy="266700"/>
        </a:xfrm>
        <a:prstGeom prst="notchedRightArrow">
          <a:avLst>
            <a:gd name="adj1" fmla="val 50000"/>
            <a:gd name="adj2" fmla="val 44643"/>
          </a:avLst>
        </a:prstGeom>
        <a:solidFill>
          <a:srgbClr val="C0C0C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381000</xdr:colOff>
      <xdr:row>1</xdr:row>
      <xdr:rowOff>0</xdr:rowOff>
    </xdr:from>
    <xdr:to>
      <xdr:col>20</xdr:col>
      <xdr:colOff>238125</xdr:colOff>
      <xdr:row>2</xdr:row>
      <xdr:rowOff>66675</xdr:rowOff>
    </xdr:to>
    <xdr:sp macro="" textlink="">
      <xdr:nvSpPr>
        <xdr:cNvPr id="58623" name="AutoShape 3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10800000">
          <a:off x="9553575" y="257175"/>
          <a:ext cx="476250" cy="266700"/>
        </a:xfrm>
        <a:prstGeom prst="notchedRightArrow">
          <a:avLst>
            <a:gd name="adj1" fmla="val 50000"/>
            <a:gd name="adj2" fmla="val 44643"/>
          </a:avLst>
        </a:prstGeom>
        <a:solidFill>
          <a:srgbClr val="C0C0C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304800</xdr:colOff>
      <xdr:row>1</xdr:row>
      <xdr:rowOff>0</xdr:rowOff>
    </xdr:from>
    <xdr:to>
      <xdr:col>32</xdr:col>
      <xdr:colOff>19050</xdr:colOff>
      <xdr:row>3</xdr:row>
      <xdr:rowOff>19050</xdr:rowOff>
    </xdr:to>
    <xdr:sp macro="" textlink="">
      <xdr:nvSpPr>
        <xdr:cNvPr id="76026" name="AutoShape 3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10800000">
          <a:off x="9172575" y="257175"/>
          <a:ext cx="476250" cy="276225"/>
        </a:xfrm>
        <a:prstGeom prst="notchedRightArrow">
          <a:avLst>
            <a:gd name="adj1" fmla="val 50000"/>
            <a:gd name="adj2" fmla="val 43103"/>
          </a:avLst>
        </a:prstGeom>
        <a:solidFill>
          <a:srgbClr val="C0C0C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%20FC%20Papa%202020%20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FC%20hortalizas%202020%20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%20FC%20Frutales%202020%20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5%20FC%20Frijoles%202020%20TO%20%20-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%20FC%20%20Ma&#237;z%202020%20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\FICHAS%20DE%20COSTO\Fichas%20de%20costo%20al%20MFP\3%20FC%20VIANDAS%20ALTA%202017%20hasta%20el%20cos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4\ROBERTICO\PRECIOS%20DE%20ACOPIO%20POR%20ACUERDO%20PARA%20EL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4\FICHAS%20CON%20INSUMOS%20SIN%20SUBSIDIO%202014\Ccultivos%20varios%202014\VIANDAS%20CON%20TECNOLOG&#205;A\CT%20Viandas%20para%20revalida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2\Fichas%20plan%202012\Copia%20de%20Propuesta%20Precios%20Plan%202013.%20III%20Versi&#243;n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arta tecnológica"/>
      <sheetName val="FC.."/>
      <sheetName val="IM"/>
      <sheetName val="SALARIOS"/>
      <sheetName val="Otros insumos"/>
      <sheetName val="Estrategia"/>
      <sheetName val="Insumos 2020"/>
      <sheetName val="GASTOS BANCARIOS"/>
      <sheetName val="Hoja4"/>
    </sheetNames>
    <sheetDataSet>
      <sheetData sheetId="0">
        <row r="3">
          <cell r="E3">
            <v>107263.10287352382</v>
          </cell>
          <cell r="F3">
            <v>22.5</v>
          </cell>
          <cell r="I3">
            <v>5594</v>
          </cell>
        </row>
        <row r="4">
          <cell r="E4">
            <v>89139.557627523842</v>
          </cell>
          <cell r="F4">
            <v>17</v>
          </cell>
          <cell r="I4">
            <v>5594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C"/>
      <sheetName val="IM"/>
      <sheetName val="S Cebolla s"/>
      <sheetName val="salario"/>
      <sheetName val="S COL"/>
      <sheetName val="S Pimientos"/>
      <sheetName val="S CALABAZA"/>
      <sheetName val="S PEPINO"/>
      <sheetName val="S TOMATE C"/>
      <sheetName val="GASTOS F CALABAZA"/>
      <sheetName val="GB TOMATEC"/>
      <sheetName val="GB TOMATE IND"/>
      <sheetName val="CT COL"/>
      <sheetName val="GASTOS F COL"/>
      <sheetName val="GF Pimientos"/>
      <sheetName val="CT CALABAZA"/>
      <sheetName val="SEGURO ESTATAL"/>
      <sheetName val="CT PEPINO"/>
      <sheetName val="GASTOS F PEPINO"/>
      <sheetName val="CT Pimientos"/>
      <sheetName val="CT TOMATE C"/>
      <sheetName val="ct tomate ind"/>
      <sheetName val="S TIOMATE IND"/>
      <sheetName val="Insumos para 2021"/>
      <sheetName val="Otros insumos"/>
      <sheetName val="Res 60"/>
      <sheetName val="Agua"/>
      <sheetName val="Energía"/>
      <sheetName val="Estrategia suelos"/>
    </sheetNames>
    <sheetDataSet>
      <sheetData sheetId="0">
        <row r="6">
          <cell r="A6" t="str">
            <v>Calabaza</v>
          </cell>
          <cell r="B6">
            <v>35044.776652500004</v>
          </cell>
          <cell r="C6">
            <v>10</v>
          </cell>
        </row>
        <row r="9">
          <cell r="A9" t="str">
            <v>Tomate</v>
          </cell>
          <cell r="B9">
            <v>55001.305779537557</v>
          </cell>
          <cell r="C9">
            <v>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2"/>
      <sheetName val="Datos"/>
      <sheetName val="FC"/>
      <sheetName val="IM"/>
      <sheetName val="CT PIÑA"/>
      <sheetName val="CT GUAYABA"/>
      <sheetName val="CT MANGO"/>
      <sheetName val="CT PAPAYA"/>
      <sheetName val="GASTOS BANCARIOS"/>
      <sheetName val="SALARIO"/>
      <sheetName val="Res 60"/>
      <sheetName val="Otros insumos"/>
      <sheetName val="Estrategia"/>
      <sheetName val="Insumos 2021"/>
    </sheetNames>
    <sheetDataSet>
      <sheetData sheetId="0">
        <row r="4">
          <cell r="A4" t="str">
            <v>Guayaba</v>
          </cell>
          <cell r="B4">
            <v>112503.4921</v>
          </cell>
          <cell r="C4">
            <v>20</v>
          </cell>
        </row>
        <row r="5">
          <cell r="A5" t="str">
            <v>Mango</v>
          </cell>
          <cell r="B5">
            <v>63194.127899999999</v>
          </cell>
          <cell r="C5">
            <v>15</v>
          </cell>
        </row>
        <row r="6">
          <cell r="A6" t="str">
            <v>Papaya</v>
          </cell>
          <cell r="B6">
            <v>110214.73123999999</v>
          </cell>
          <cell r="C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C"/>
      <sheetName val="IM"/>
      <sheetName val="Estrategia"/>
      <sheetName val="Res. 60"/>
      <sheetName val="Insumos 2021"/>
      <sheetName val="Otros insumos"/>
      <sheetName val="SALARIO"/>
      <sheetName val="Insumos 2015"/>
      <sheetName val="CT FRIJOLES ELECTRICO 2"/>
      <sheetName val="CT FRIJOLES 2"/>
    </sheetNames>
    <sheetDataSet>
      <sheetData sheetId="0">
        <row r="5">
          <cell r="B5" t="str">
            <v>Frijoles</v>
          </cell>
          <cell r="C5">
            <v>1.05</v>
          </cell>
          <cell r="D5">
            <v>26118.023611000001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cto económico"/>
      <sheetName val="Datos"/>
      <sheetName val="Fc para el día cero "/>
      <sheetName val="FC"/>
      <sheetName val="IM"/>
      <sheetName val="IM Base"/>
      <sheetName val="SALARIO"/>
      <sheetName val="Insumos 2020"/>
      <sheetName val="Estrategia"/>
      <sheetName val="Otros insumos"/>
      <sheetName val="Res 60"/>
      <sheetName val="CT MAÍZ"/>
      <sheetName val="CT MAÍZ VARIANTE 2"/>
      <sheetName val="MAÍZ CON ELÉCTRICO 2"/>
      <sheetName val="MAÍZ CON ELÉCTRICO"/>
      <sheetName val="Hoja1"/>
      <sheetName val="Hoja2"/>
      <sheetName val="Insumos 2015"/>
    </sheetNames>
    <sheetDataSet>
      <sheetData sheetId="0"/>
      <sheetData sheetId="1">
        <row r="3">
          <cell r="A3" t="str">
            <v>Maíz seco en granos</v>
          </cell>
          <cell r="B3">
            <v>22910.232948000004</v>
          </cell>
          <cell r="C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CIOS INSUMOS 2015"/>
      <sheetName val="FICHA DE COSTO"/>
      <sheetName val="SALARIOS"/>
      <sheetName val="MATERIALES 2015"/>
      <sheetName val="CT YUCA"/>
      <sheetName val="CT BONIATO"/>
      <sheetName val="CT BURRO"/>
      <sheetName val="CT M XANT"/>
      <sheetName val="CT M COLOCASIA"/>
      <sheetName val="CT PAPA"/>
      <sheetName val="CT P FRUTA"/>
      <sheetName val="CT P VIANDA"/>
      <sheetName val="GF"/>
      <sheetName val="PRECIOS DE INSUMOS PLAGUICIDAS"/>
      <sheetName val="FERTILIZANTES"/>
      <sheetName val="MATERIALES"/>
      <sheetName val="DEPRECIACIÓN"/>
    </sheetNames>
    <sheetDataSet>
      <sheetData sheetId="0" refreshError="1"/>
      <sheetData sheetId="1">
        <row r="5">
          <cell r="C5">
            <v>2</v>
          </cell>
        </row>
        <row r="17">
          <cell r="H17">
            <v>43</v>
          </cell>
        </row>
        <row r="85">
          <cell r="C85">
            <v>87</v>
          </cell>
        </row>
        <row r="92">
          <cell r="C92">
            <v>30</v>
          </cell>
        </row>
        <row r="100">
          <cell r="C100">
            <v>15</v>
          </cell>
        </row>
        <row r="166">
          <cell r="E166">
            <v>1250</v>
          </cell>
        </row>
      </sheetData>
      <sheetData sheetId="2" refreshError="1"/>
      <sheetData sheetId="3">
        <row r="11">
          <cell r="F11">
            <v>12000</v>
          </cell>
          <cell r="G11">
            <v>1090.8</v>
          </cell>
        </row>
        <row r="26">
          <cell r="F26">
            <v>17714.981090199319</v>
          </cell>
          <cell r="G26">
            <v>1610.291781099118</v>
          </cell>
        </row>
        <row r="41">
          <cell r="F41">
            <v>7600</v>
          </cell>
          <cell r="G41">
            <v>690.83999999999992</v>
          </cell>
        </row>
        <row r="57">
          <cell r="F57">
            <v>19474.254379687387</v>
          </cell>
          <cell r="G57">
            <v>1770.2097231135836</v>
          </cell>
        </row>
        <row r="73">
          <cell r="F73">
            <v>9200</v>
          </cell>
          <cell r="G73">
            <v>836.28</v>
          </cell>
        </row>
        <row r="89">
          <cell r="F89">
            <v>14780.63009126233</v>
          </cell>
          <cell r="G89">
            <v>1343.5592752957457</v>
          </cell>
        </row>
        <row r="104">
          <cell r="F104">
            <v>7200</v>
          </cell>
          <cell r="G104">
            <v>654.48</v>
          </cell>
        </row>
      </sheetData>
      <sheetData sheetId="4" refreshError="1"/>
      <sheetData sheetId="5" refreshError="1"/>
      <sheetData sheetId="6">
        <row r="17">
          <cell r="O17">
            <v>50</v>
          </cell>
          <cell r="P17">
            <v>30</v>
          </cell>
        </row>
        <row r="20">
          <cell r="P20">
            <v>8.9499999999999993</v>
          </cell>
        </row>
        <row r="31">
          <cell r="O31">
            <v>3</v>
          </cell>
        </row>
        <row r="72">
          <cell r="O72">
            <v>2</v>
          </cell>
        </row>
        <row r="80">
          <cell r="O80">
            <v>2</v>
          </cell>
        </row>
        <row r="138">
          <cell r="O138">
            <v>4</v>
          </cell>
        </row>
        <row r="139">
          <cell r="O139">
            <v>2</v>
          </cell>
        </row>
        <row r="151">
          <cell r="Q151">
            <v>5553.3309350819618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96"/>
      <sheetName val="Hoja97"/>
      <sheetName val="Hoja98"/>
      <sheetName val="Hoja99"/>
      <sheetName val="Hoja100"/>
      <sheetName val="Hoja101"/>
      <sheetName val="Hoja102"/>
      <sheetName val="Hoja103"/>
      <sheetName val="Hoja104"/>
      <sheetName val="Hoja105"/>
      <sheetName val="Hoja106"/>
      <sheetName val="Hoja107"/>
      <sheetName val="Hoja108"/>
      <sheetName val="Hoja109"/>
      <sheetName val="Hoja110"/>
      <sheetName val="Hoja111"/>
      <sheetName val="Hoja112"/>
      <sheetName val="Hoja113"/>
      <sheetName val="Hoja114"/>
      <sheetName val="Hoja115"/>
      <sheetName val="Hoja116"/>
    </sheetNames>
    <sheetDataSet>
      <sheetData sheetId="0">
        <row r="5">
          <cell r="B5">
            <v>280</v>
          </cell>
        </row>
        <row r="9">
          <cell r="B9">
            <v>100</v>
          </cell>
        </row>
        <row r="13">
          <cell r="B13">
            <v>150</v>
          </cell>
        </row>
        <row r="18">
          <cell r="B18">
            <v>345</v>
          </cell>
        </row>
        <row r="23">
          <cell r="B23">
            <v>160</v>
          </cell>
        </row>
        <row r="91">
          <cell r="B91">
            <v>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CIOS DE INSUMOS PLAGUICIDAS"/>
      <sheetName val="FERTILIZANTES"/>
      <sheetName val="Int Bancario"/>
      <sheetName val="FC mALANGA COLOC."/>
      <sheetName val="IM M COLOC"/>
      <sheetName val="SALARIO M COLOC."/>
      <sheetName val="FCYUCA"/>
      <sheetName val="IM YUCA"/>
      <sheetName val="SALARIO YUCA"/>
      <sheetName val="FC PLÁTANO VIANDA"/>
      <sheetName val="MAT. VIANDA"/>
      <sheetName val="salario vianda"/>
      <sheetName val="FC PLÁTANO BURRO"/>
      <sheetName val="MAT BURRO"/>
      <sheetName val="SALARIO BURRO"/>
      <sheetName val="FC BONIATO"/>
      <sheetName val="Mat Boniato"/>
      <sheetName val="Salario Boniato"/>
      <sheetName val="FC MALANGA X"/>
      <sheetName val="IM M XANT"/>
      <sheetName val="SALARIO M XANT"/>
      <sheetName val="FC PLÁTANO FRUTA"/>
      <sheetName val="MAT. P. FRUTA"/>
      <sheetName val="SALARIO. P. FRUTA"/>
      <sheetName val="CT BONIATO"/>
      <sheetName val="CT M COLOCASIA"/>
      <sheetName val="CT M XANT"/>
      <sheetName val="CT BURRO"/>
      <sheetName val="CT P FRUTA"/>
      <sheetName val="CT P VIANDA"/>
      <sheetName val="CT YUCA"/>
      <sheetName val="DEPRECIACIÓN"/>
    </sheetNames>
    <sheetDataSet>
      <sheetData sheetId="0" refreshError="1"/>
      <sheetData sheetId="1" refreshError="1">
        <row r="48">
          <cell r="O48">
            <v>394</v>
          </cell>
        </row>
        <row r="102">
          <cell r="O102">
            <v>39</v>
          </cell>
        </row>
        <row r="106">
          <cell r="O106">
            <v>54</v>
          </cell>
        </row>
        <row r="112">
          <cell r="O112">
            <v>22</v>
          </cell>
        </row>
        <row r="113">
          <cell r="O113">
            <v>45</v>
          </cell>
        </row>
        <row r="136">
          <cell r="O136">
            <v>142</v>
          </cell>
        </row>
        <row r="142">
          <cell r="O142">
            <v>103</v>
          </cell>
        </row>
        <row r="143">
          <cell r="O143">
            <v>326</v>
          </cell>
        </row>
      </sheetData>
      <sheetData sheetId="2" refreshError="1">
        <row r="77">
          <cell r="U77">
            <v>119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2">
          <cell r="D22">
            <v>1</v>
          </cell>
          <cell r="E22">
            <v>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ción"/>
      <sheetName val="Importación"/>
      <sheetName val="Níquel Exportación"/>
    </sheetNames>
    <sheetDataSet>
      <sheetData sheetId="0"/>
      <sheetData sheetId="1">
        <row r="141">
          <cell r="I141">
            <v>663.78500000000008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CC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CC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2014/FICHAS%20CON%20INSUMOS%20SIN%20SUBSIDIO%202014/Ccultivos%20varios%202014/VIANDAS%20CON%20TECNOLOG&#205;A/CT%20Viandas%20para%20revalidar.xls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7"/>
  <sheetViews>
    <sheetView showGridLines="0" showZeros="0" defaultGridColor="0" colorId="23" zoomScaleNormal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baseColWidth="10" defaultColWidth="11.42578125" defaultRowHeight="15" x14ac:dyDescent="0.2"/>
  <cols>
    <col min="1" max="1" width="25.7109375" style="996" customWidth="1"/>
    <col min="2" max="2" width="12.7109375" style="996" customWidth="1"/>
    <col min="3" max="3" width="12" style="1003" customWidth="1"/>
    <col min="4" max="4" width="15.28515625" style="996" customWidth="1"/>
    <col min="5" max="5" width="15.28515625" style="996" hidden="1" customWidth="1"/>
    <col min="6" max="6" width="12.85546875" style="996" customWidth="1"/>
    <col min="7" max="7" width="12" style="996" customWidth="1"/>
    <col min="8" max="8" width="12.85546875" style="997" customWidth="1"/>
    <col min="9" max="9" width="10" style="997" customWidth="1"/>
    <col min="10" max="10" width="10.28515625" style="1003" customWidth="1"/>
    <col min="11" max="14" width="10.28515625" style="996" customWidth="1"/>
    <col min="15" max="15" width="12.85546875" style="996" customWidth="1"/>
    <col min="16" max="16" width="11.42578125" style="997" customWidth="1"/>
    <col min="17" max="18" width="11.42578125" style="997"/>
    <col min="19" max="20" width="11.42578125" style="996"/>
    <col min="21" max="21" width="11.42578125" style="997"/>
    <col min="22" max="16384" width="11.42578125" style="996"/>
  </cols>
  <sheetData>
    <row r="1" spans="1:21" ht="36.75" customHeight="1" x14ac:dyDescent="0.2">
      <c r="A1" s="1741" t="s">
        <v>1468</v>
      </c>
      <c r="B1" s="1742"/>
      <c r="C1" s="1742"/>
      <c r="D1" s="1742"/>
      <c r="E1" s="1742"/>
      <c r="F1" s="1742"/>
      <c r="G1" s="1742"/>
      <c r="H1" s="1743"/>
      <c r="I1" s="1046" t="s">
        <v>1479</v>
      </c>
      <c r="J1" s="1047">
        <v>50</v>
      </c>
      <c r="K1" s="981"/>
      <c r="L1" s="981"/>
      <c r="M1" s="981"/>
      <c r="N1" s="981"/>
      <c r="O1" s="981"/>
      <c r="P1" s="981"/>
      <c r="Q1" s="981"/>
      <c r="R1" s="981"/>
      <c r="S1" s="981"/>
    </row>
    <row r="2" spans="1:21" s="1064" customFormat="1" ht="28.5" customHeight="1" x14ac:dyDescent="0.25">
      <c r="A2" s="1066"/>
      <c r="B2" s="1066"/>
      <c r="C2" s="1066"/>
      <c r="D2" s="1744" t="s">
        <v>1486</v>
      </c>
      <c r="E2" s="1744"/>
      <c r="F2" s="1745"/>
      <c r="G2" s="1084">
        <v>20</v>
      </c>
      <c r="H2" s="1066"/>
      <c r="I2" s="1063"/>
      <c r="J2" s="1067"/>
      <c r="K2" s="1063"/>
      <c r="L2" s="1063"/>
      <c r="M2" s="1063"/>
      <c r="N2" s="1063"/>
      <c r="O2" s="1063"/>
      <c r="P2" s="1063"/>
      <c r="Q2" s="1063"/>
      <c r="R2" s="1063"/>
      <c r="S2" s="1063"/>
      <c r="U2" s="1065"/>
    </row>
    <row r="3" spans="1:21" s="1004" customFormat="1" ht="42" customHeight="1" x14ac:dyDescent="0.2">
      <c r="A3" s="1045" t="s">
        <v>1483</v>
      </c>
      <c r="B3" s="1045" t="s">
        <v>1478</v>
      </c>
      <c r="C3" s="1045" t="s">
        <v>1469</v>
      </c>
      <c r="D3" s="1045" t="s">
        <v>1480</v>
      </c>
      <c r="E3" s="1045" t="s">
        <v>1478</v>
      </c>
      <c r="F3" s="1060" t="s">
        <v>1487</v>
      </c>
      <c r="G3" s="1060" t="s">
        <v>1485</v>
      </c>
      <c r="H3" s="1061" t="s">
        <v>1484</v>
      </c>
      <c r="I3" s="1073" t="s">
        <v>1488</v>
      </c>
      <c r="J3" s="1062"/>
      <c r="K3" s="999"/>
      <c r="L3" s="999"/>
      <c r="M3" s="999"/>
      <c r="N3" s="999"/>
      <c r="O3" s="1041" t="s">
        <v>1481</v>
      </c>
      <c r="P3" s="1041" t="s">
        <v>1482</v>
      </c>
      <c r="Q3" s="998"/>
      <c r="R3" s="998"/>
      <c r="S3" s="998"/>
      <c r="T3" s="998"/>
      <c r="U3" s="848"/>
    </row>
    <row r="4" spans="1:21" ht="20.25" hidden="1" customHeight="1" x14ac:dyDescent="0.2">
      <c r="A4" s="1045"/>
      <c r="B4" s="1044"/>
      <c r="C4" s="1044"/>
      <c r="D4" s="1044"/>
      <c r="E4" s="1044"/>
      <c r="F4" s="1044"/>
      <c r="G4" s="1044"/>
      <c r="H4" s="1044"/>
      <c r="I4" s="1074"/>
      <c r="K4" s="999"/>
      <c r="L4" s="999"/>
      <c r="M4" s="999"/>
      <c r="N4" s="999"/>
      <c r="O4" s="1042"/>
      <c r="P4" s="1043"/>
      <c r="Q4" s="998"/>
      <c r="R4" s="998"/>
      <c r="S4" s="998"/>
      <c r="T4" s="998"/>
    </row>
    <row r="5" spans="1:21" ht="17.25" customHeight="1" x14ac:dyDescent="0.2">
      <c r="A5" s="1048" t="s">
        <v>297</v>
      </c>
      <c r="B5" s="1049">
        <f>'FICHA DE COSTO'!D289</f>
        <v>199832.74063999997</v>
      </c>
      <c r="C5" s="1050">
        <v>17</v>
      </c>
      <c r="D5" s="1049">
        <f>B5/C5</f>
        <v>11754.867096470587</v>
      </c>
      <c r="E5" s="1049">
        <f t="shared" ref="E5:E11" si="0">(H5*21.74)*F5</f>
        <v>705292.02578823525</v>
      </c>
      <c r="F5" s="1049">
        <f>D5/21.74</f>
        <v>540.7022583473132</v>
      </c>
      <c r="G5" s="1049">
        <f>F5+F5*G$2%</f>
        <v>648.84271001677587</v>
      </c>
      <c r="H5" s="1049">
        <v>60</v>
      </c>
      <c r="I5" s="1074">
        <f>G5-H5</f>
        <v>588.84271001677587</v>
      </c>
      <c r="K5" s="997"/>
      <c r="L5" s="1001"/>
      <c r="M5" s="1001"/>
      <c r="N5" s="1001"/>
      <c r="O5" s="1038">
        <f>SALARIOS!F104</f>
        <v>72000</v>
      </c>
      <c r="P5" s="1039">
        <v>5454.5</v>
      </c>
      <c r="S5" s="997"/>
      <c r="T5" s="997"/>
    </row>
    <row r="6" spans="1:21" ht="17.25" customHeight="1" x14ac:dyDescent="0.2">
      <c r="A6" s="1048" t="s">
        <v>316</v>
      </c>
      <c r="B6" s="1049">
        <f>'FICHA DE COSTO'!D121</f>
        <v>205890.88784000004</v>
      </c>
      <c r="C6" s="1050">
        <v>14</v>
      </c>
      <c r="D6" s="1049">
        <f t="shared" ref="D6:D11" si="1">B6/C6</f>
        <v>14706.491988571432</v>
      </c>
      <c r="E6" s="1049">
        <f t="shared" si="0"/>
        <v>882389.51931428595</v>
      </c>
      <c r="F6" s="1049">
        <f t="shared" ref="F6:F11" si="2">D6/21.74</f>
        <v>676.47157261138148</v>
      </c>
      <c r="G6" s="1049">
        <f t="shared" ref="G6:G11" si="3">F6+F6*G$2%</f>
        <v>811.76588713365777</v>
      </c>
      <c r="H6" s="1049">
        <v>60</v>
      </c>
      <c r="I6" s="1074">
        <f t="shared" ref="I6:I30" si="4">G6-H6</f>
        <v>751.76588713365777</v>
      </c>
      <c r="K6" s="997"/>
      <c r="L6" s="1001"/>
      <c r="M6" s="1001"/>
      <c r="N6" s="1001"/>
      <c r="O6" s="1040">
        <f>SALARIOS!F41</f>
        <v>92000</v>
      </c>
      <c r="P6" s="1039">
        <v>5999.95</v>
      </c>
      <c r="S6" s="997"/>
      <c r="T6" s="997"/>
    </row>
    <row r="7" spans="1:21" ht="17.25" customHeight="1" x14ac:dyDescent="0.25">
      <c r="A7" s="1048" t="s">
        <v>1470</v>
      </c>
      <c r="B7" s="1049">
        <f>'FICHA DE COSTO'!D37</f>
        <v>219793.40291999999</v>
      </c>
      <c r="C7" s="1050">
        <v>18</v>
      </c>
      <c r="D7" s="1049">
        <f t="shared" si="1"/>
        <v>12210.744606666667</v>
      </c>
      <c r="E7" s="1049">
        <f t="shared" si="0"/>
        <v>1587396.7988666666</v>
      </c>
      <c r="F7" s="1049">
        <f t="shared" si="2"/>
        <v>561.67178503526532</v>
      </c>
      <c r="G7" s="1049">
        <f t="shared" si="3"/>
        <v>674.0061420423184</v>
      </c>
      <c r="H7" s="1049">
        <v>130</v>
      </c>
      <c r="I7" s="1074">
        <f t="shared" si="4"/>
        <v>544.0061420423184</v>
      </c>
      <c r="K7" s="997"/>
      <c r="L7" s="1001"/>
      <c r="M7" s="1001"/>
      <c r="N7" s="1001"/>
      <c r="O7" s="1051">
        <f>SALARIOS!F11</f>
        <v>96000</v>
      </c>
      <c r="P7" s="1039">
        <v>12892.69</v>
      </c>
      <c r="S7" s="997"/>
      <c r="T7" s="997"/>
    </row>
    <row r="8" spans="1:21" ht="17.25" customHeight="1" x14ac:dyDescent="0.25">
      <c r="A8" s="1048" t="s">
        <v>1463</v>
      </c>
      <c r="B8" s="1049">
        <f>'FICHA DE COSTO'!D79</f>
        <v>234558.87424</v>
      </c>
      <c r="C8" s="1050">
        <v>23</v>
      </c>
      <c r="D8" s="1049">
        <f t="shared" si="1"/>
        <v>10198.21192347826</v>
      </c>
      <c r="E8" s="1049">
        <f t="shared" si="0"/>
        <v>2549552.9808695652</v>
      </c>
      <c r="F8" s="1049">
        <f t="shared" si="2"/>
        <v>469.09898452061918</v>
      </c>
      <c r="G8" s="1049">
        <f t="shared" si="3"/>
        <v>562.91878142474297</v>
      </c>
      <c r="H8" s="1049">
        <v>250</v>
      </c>
      <c r="I8" s="1074">
        <f t="shared" si="4"/>
        <v>312.91878142474297</v>
      </c>
      <c r="K8" s="997"/>
      <c r="L8" s="1001"/>
      <c r="M8" s="1001"/>
      <c r="N8" s="1001"/>
      <c r="O8" s="1051">
        <f>SALARIOS!F26</f>
        <v>112000</v>
      </c>
      <c r="P8" s="1039">
        <v>27898.22</v>
      </c>
      <c r="S8" s="997"/>
      <c r="T8" s="997"/>
    </row>
    <row r="9" spans="1:21" ht="17.25" customHeight="1" x14ac:dyDescent="0.2">
      <c r="A9" s="1048" t="s">
        <v>317</v>
      </c>
      <c r="B9" s="1049">
        <f>'FICHA DE COSTO'!D247</f>
        <v>160277.92843999999</v>
      </c>
      <c r="C9" s="1050">
        <v>26</v>
      </c>
      <c r="D9" s="1049">
        <f t="shared" si="1"/>
        <v>6164.5357092307686</v>
      </c>
      <c r="E9" s="1049">
        <f t="shared" si="0"/>
        <v>493162.85673846153</v>
      </c>
      <c r="F9" s="1049">
        <f t="shared" si="2"/>
        <v>283.5573003326021</v>
      </c>
      <c r="G9" s="1049">
        <f t="shared" si="3"/>
        <v>340.26876039912253</v>
      </c>
      <c r="H9" s="1049">
        <v>80</v>
      </c>
      <c r="I9" s="1074">
        <f t="shared" si="4"/>
        <v>260.26876039912253</v>
      </c>
      <c r="K9" s="997"/>
      <c r="L9" s="1001"/>
      <c r="M9" s="1001"/>
      <c r="N9" s="1001"/>
      <c r="O9" s="1040">
        <f>SALARIOS!F89</f>
        <v>72000</v>
      </c>
      <c r="P9" s="1039">
        <v>13418.07</v>
      </c>
      <c r="S9" s="997"/>
      <c r="T9" s="997"/>
    </row>
    <row r="10" spans="1:21" ht="17.25" customHeight="1" x14ac:dyDescent="0.25">
      <c r="A10" s="1048" t="s">
        <v>1471</v>
      </c>
      <c r="B10" s="1049">
        <f>'FICHA DE COSTO'!D163</f>
        <v>288203.19889600005</v>
      </c>
      <c r="C10" s="1050">
        <v>21</v>
      </c>
      <c r="D10" s="1049">
        <f t="shared" si="1"/>
        <v>13723.961852190478</v>
      </c>
      <c r="E10" s="1049">
        <f t="shared" si="0"/>
        <v>2058594.2778285716</v>
      </c>
      <c r="F10" s="1049">
        <f t="shared" si="2"/>
        <v>631.27699412099719</v>
      </c>
      <c r="G10" s="1049">
        <f t="shared" si="3"/>
        <v>757.53239294519665</v>
      </c>
      <c r="H10" s="1049">
        <v>150</v>
      </c>
      <c r="I10" s="1074">
        <f t="shared" si="4"/>
        <v>607.53239294519665</v>
      </c>
      <c r="K10" s="997"/>
      <c r="L10" s="1001"/>
      <c r="M10" s="1001"/>
      <c r="N10" s="1001"/>
      <c r="O10" s="1051">
        <f>SALARIOS!F57</f>
        <v>124800</v>
      </c>
      <c r="P10" s="1039">
        <v>22516.18</v>
      </c>
      <c r="S10" s="997"/>
      <c r="T10" s="997"/>
    </row>
    <row r="11" spans="1:21" ht="17.25" customHeight="1" x14ac:dyDescent="0.2">
      <c r="A11" s="1048" t="s">
        <v>464</v>
      </c>
      <c r="B11" s="1049">
        <f>'FICHA DE COSTO'!D205</f>
        <v>241916.74529600001</v>
      </c>
      <c r="C11" s="1050">
        <v>21</v>
      </c>
      <c r="D11" s="1049">
        <f t="shared" si="1"/>
        <v>11519.845014095239</v>
      </c>
      <c r="E11" s="1049">
        <f t="shared" si="0"/>
        <v>691190.70084571431</v>
      </c>
      <c r="F11" s="1049">
        <f t="shared" si="2"/>
        <v>529.89167498138181</v>
      </c>
      <c r="G11" s="1049">
        <f t="shared" si="3"/>
        <v>635.87000997765813</v>
      </c>
      <c r="H11" s="1049">
        <v>60</v>
      </c>
      <c r="I11" s="1074">
        <f t="shared" si="4"/>
        <v>575.87000997765813</v>
      </c>
      <c r="K11" s="997"/>
      <c r="L11" s="1001"/>
      <c r="M11" s="1001"/>
      <c r="N11" s="1001"/>
      <c r="O11" s="1038">
        <f>SALARIOS!F73</f>
        <v>124800</v>
      </c>
      <c r="P11" s="1039">
        <v>7199.94</v>
      </c>
      <c r="S11" s="997"/>
      <c r="T11" s="997"/>
    </row>
    <row r="12" spans="1:21" ht="17.25" hidden="1" customHeight="1" x14ac:dyDescent="0.2">
      <c r="A12" s="1068"/>
      <c r="B12" s="1069"/>
      <c r="C12" s="1070"/>
      <c r="D12" s="1069"/>
      <c r="E12" s="1069"/>
      <c r="F12" s="1070"/>
      <c r="G12" s="1071"/>
      <c r="H12" s="1072"/>
      <c r="I12" s="997">
        <f t="shared" si="4"/>
        <v>0</v>
      </c>
      <c r="J12" s="1000"/>
      <c r="K12" s="997"/>
      <c r="L12" s="1001"/>
      <c r="M12" s="1001"/>
      <c r="N12" s="1001"/>
      <c r="O12" s="1002"/>
      <c r="S12" s="997"/>
      <c r="T12" s="997"/>
    </row>
    <row r="13" spans="1:21" ht="17.25" hidden="1" customHeight="1" x14ac:dyDescent="0.2">
      <c r="A13" s="1052"/>
      <c r="B13" s="1049"/>
      <c r="C13" s="1050"/>
      <c r="D13" s="1049"/>
      <c r="E13" s="1049"/>
      <c r="F13" s="1050"/>
      <c r="G13" s="1058"/>
      <c r="H13" s="1053"/>
      <c r="I13" s="997">
        <f t="shared" si="4"/>
        <v>0</v>
      </c>
      <c r="J13" s="1000"/>
    </row>
    <row r="14" spans="1:21" ht="17.25" hidden="1" customHeight="1" x14ac:dyDescent="0.2">
      <c r="A14" s="1052"/>
      <c r="B14" s="1049"/>
      <c r="C14" s="1050"/>
      <c r="D14" s="1049"/>
      <c r="E14" s="1049"/>
      <c r="F14" s="1050"/>
      <c r="G14" s="1058"/>
      <c r="H14" s="1053"/>
      <c r="I14" s="997">
        <f t="shared" si="4"/>
        <v>0</v>
      </c>
      <c r="J14" s="1000"/>
    </row>
    <row r="15" spans="1:21" ht="17.25" hidden="1" customHeight="1" x14ac:dyDescent="0.2">
      <c r="A15" s="1052"/>
      <c r="B15" s="1049"/>
      <c r="C15" s="1050"/>
      <c r="D15" s="1049"/>
      <c r="E15" s="1049"/>
      <c r="F15" s="1050"/>
      <c r="G15" s="1058"/>
      <c r="H15" s="1053"/>
      <c r="I15" s="997">
        <f t="shared" si="4"/>
        <v>0</v>
      </c>
      <c r="J15" s="1000"/>
    </row>
    <row r="16" spans="1:21" ht="17.25" hidden="1" customHeight="1" x14ac:dyDescent="0.2">
      <c r="A16" s="1052"/>
      <c r="B16" s="1049"/>
      <c r="C16" s="1050"/>
      <c r="D16" s="1049"/>
      <c r="E16" s="1049"/>
      <c r="F16" s="1050"/>
      <c r="G16" s="1058"/>
      <c r="H16" s="1053"/>
      <c r="I16" s="997">
        <f t="shared" si="4"/>
        <v>0</v>
      </c>
      <c r="J16" s="1000"/>
    </row>
    <row r="17" spans="1:19" ht="17.25" hidden="1" customHeight="1" x14ac:dyDescent="0.2">
      <c r="A17" s="1052"/>
      <c r="B17" s="1049"/>
      <c r="C17" s="1050"/>
      <c r="D17" s="1049"/>
      <c r="E17" s="1049"/>
      <c r="F17" s="1050"/>
      <c r="G17" s="1058"/>
      <c r="H17" s="1053"/>
      <c r="I17" s="997">
        <f t="shared" si="4"/>
        <v>0</v>
      </c>
      <c r="J17" s="1000"/>
    </row>
    <row r="18" spans="1:19" ht="17.25" hidden="1" customHeight="1" x14ac:dyDescent="0.2">
      <c r="A18" s="1052"/>
      <c r="B18" s="1049"/>
      <c r="C18" s="1050"/>
      <c r="D18" s="1049"/>
      <c r="E18" s="1049"/>
      <c r="F18" s="1050"/>
      <c r="G18" s="1058"/>
      <c r="H18" s="1053"/>
      <c r="I18" s="997">
        <f t="shared" si="4"/>
        <v>0</v>
      </c>
      <c r="J18" s="1000"/>
      <c r="K18" s="1004"/>
      <c r="L18" s="1004"/>
      <c r="M18" s="1004"/>
      <c r="N18" s="1004"/>
      <c r="O18" s="1004"/>
      <c r="P18" s="848"/>
      <c r="Q18" s="848"/>
      <c r="R18" s="848"/>
      <c r="S18" s="1005"/>
    </row>
    <row r="19" spans="1:19" ht="17.25" hidden="1" customHeight="1" x14ac:dyDescent="0.2">
      <c r="A19" s="1052"/>
      <c r="B19" s="1049"/>
      <c r="C19" s="1050"/>
      <c r="D19" s="1049"/>
      <c r="E19" s="1049"/>
      <c r="F19" s="1050"/>
      <c r="G19" s="1058"/>
      <c r="H19" s="1053"/>
      <c r="I19" s="997">
        <f t="shared" si="4"/>
        <v>0</v>
      </c>
      <c r="J19" s="1000"/>
      <c r="S19" s="997"/>
    </row>
    <row r="20" spans="1:19" ht="17.25" hidden="1" customHeight="1" x14ac:dyDescent="0.2">
      <c r="A20" s="1052"/>
      <c r="B20" s="1049"/>
      <c r="C20" s="1050"/>
      <c r="D20" s="1049"/>
      <c r="E20" s="1049"/>
      <c r="F20" s="1050"/>
      <c r="G20" s="1058"/>
      <c r="H20" s="1053"/>
      <c r="I20" s="997">
        <f t="shared" si="4"/>
        <v>0</v>
      </c>
      <c r="J20" s="1000"/>
      <c r="S20" s="997"/>
    </row>
    <row r="21" spans="1:19" ht="17.25" hidden="1" customHeight="1" x14ac:dyDescent="0.2">
      <c r="A21" s="1052"/>
      <c r="B21" s="1049"/>
      <c r="C21" s="1050"/>
      <c r="D21" s="1049"/>
      <c r="E21" s="1049"/>
      <c r="F21" s="1050"/>
      <c r="G21" s="1058"/>
      <c r="H21" s="1053"/>
      <c r="I21" s="997">
        <f t="shared" si="4"/>
        <v>0</v>
      </c>
      <c r="J21" s="1000"/>
      <c r="S21" s="997"/>
    </row>
    <row r="22" spans="1:19" ht="17.25" hidden="1" customHeight="1" thickBot="1" x14ac:dyDescent="0.25">
      <c r="A22" s="1054"/>
      <c r="B22" s="1055"/>
      <c r="C22" s="1056"/>
      <c r="D22" s="1055"/>
      <c r="E22" s="1055"/>
      <c r="F22" s="1056"/>
      <c r="G22" s="1059"/>
      <c r="H22" s="1057"/>
      <c r="I22" s="997">
        <f t="shared" si="4"/>
        <v>0</v>
      </c>
      <c r="J22" s="1000"/>
      <c r="S22" s="997"/>
    </row>
    <row r="23" spans="1:19" ht="17.25" hidden="1" customHeight="1" x14ac:dyDescent="0.2">
      <c r="C23" s="1006"/>
      <c r="F23" s="997"/>
      <c r="G23" s="997"/>
      <c r="I23" s="997">
        <f t="shared" si="4"/>
        <v>0</v>
      </c>
      <c r="J23" s="1000"/>
      <c r="S23" s="997"/>
    </row>
    <row r="24" spans="1:19" ht="17.25" hidden="1" customHeight="1" x14ac:dyDescent="0.2">
      <c r="C24" s="1007"/>
      <c r="F24" s="997"/>
      <c r="G24" s="997"/>
      <c r="I24" s="997">
        <f t="shared" si="4"/>
        <v>0</v>
      </c>
      <c r="S24" s="997"/>
    </row>
    <row r="25" spans="1:19" ht="17.25" hidden="1" customHeight="1" x14ac:dyDescent="0.2">
      <c r="C25" s="1007"/>
      <c r="F25" s="997"/>
      <c r="G25" s="997"/>
      <c r="I25" s="997">
        <f t="shared" si="4"/>
        <v>0</v>
      </c>
      <c r="S25" s="997"/>
    </row>
    <row r="26" spans="1:19" ht="17.25" hidden="1" customHeight="1" x14ac:dyDescent="0.2">
      <c r="C26" s="1008"/>
      <c r="F26" s="997"/>
      <c r="G26" s="997"/>
      <c r="I26" s="997">
        <f t="shared" si="4"/>
        <v>0</v>
      </c>
      <c r="S26" s="997"/>
    </row>
    <row r="27" spans="1:19" ht="17.25" hidden="1" customHeight="1" x14ac:dyDescent="0.2">
      <c r="I27" s="997">
        <f t="shared" si="4"/>
        <v>0</v>
      </c>
    </row>
    <row r="28" spans="1:19" ht="17.25" hidden="1" customHeight="1" x14ac:dyDescent="0.2">
      <c r="I28" s="997">
        <f t="shared" si="4"/>
        <v>0</v>
      </c>
    </row>
    <row r="29" spans="1:19" ht="17.25" hidden="1" customHeight="1" x14ac:dyDescent="0.2">
      <c r="I29" s="997">
        <f t="shared" si="4"/>
        <v>0</v>
      </c>
    </row>
    <row r="30" spans="1:19" ht="17.25" hidden="1" customHeight="1" x14ac:dyDescent="0.2">
      <c r="I30" s="997">
        <f t="shared" si="4"/>
        <v>0</v>
      </c>
    </row>
    <row r="31" spans="1:19" ht="17.25" customHeight="1" x14ac:dyDescent="0.2"/>
    <row r="32" spans="1:19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  <row r="37" ht="17.25" customHeight="1" x14ac:dyDescent="0.2"/>
  </sheetData>
  <mergeCells count="2">
    <mergeCell ref="A1:H1"/>
    <mergeCell ref="D2:F2"/>
  </mergeCells>
  <pageMargins left="0.78740157480314965" right="0.19685039370078741" top="0.98425196850393704" bottom="0.39370078740157483" header="0" footer="0"/>
  <pageSetup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indexed="50"/>
  </sheetPr>
  <dimension ref="A1:Q109"/>
  <sheetViews>
    <sheetView showGridLines="0" showZeros="0" defaultGridColor="0" topLeftCell="A112" colorId="23" zoomScaleNormal="100" workbookViewId="0">
      <selection activeCell="A82" sqref="A82:E82"/>
    </sheetView>
  </sheetViews>
  <sheetFormatPr baseColWidth="10" defaultColWidth="11.42578125" defaultRowHeight="12.75" x14ac:dyDescent="0.2"/>
  <cols>
    <col min="1" max="1" width="17.42578125" style="421" customWidth="1"/>
    <col min="2" max="2" width="12.7109375" style="421" customWidth="1"/>
    <col min="3" max="3" width="9.7109375" style="421" customWidth="1"/>
    <col min="4" max="4" width="11.5703125" style="421" bestFit="1" customWidth="1"/>
    <col min="5" max="5" width="11.28515625" style="421" customWidth="1"/>
    <col min="6" max="6" width="10.5703125" style="763" customWidth="1"/>
    <col min="7" max="7" width="8.28515625" style="762" customWidth="1"/>
    <col min="8" max="8" width="37.7109375" style="1542" customWidth="1"/>
    <col min="9" max="16384" width="11.42578125" style="421"/>
  </cols>
  <sheetData>
    <row r="1" spans="1:17" s="410" customFormat="1" ht="18.75" thickBot="1" x14ac:dyDescent="0.3">
      <c r="A1" s="407">
        <v>1</v>
      </c>
      <c r="B1" s="408">
        <v>2</v>
      </c>
      <c r="C1" s="409">
        <v>3</v>
      </c>
      <c r="D1" s="408">
        <v>4</v>
      </c>
      <c r="E1" s="409">
        <v>5</v>
      </c>
      <c r="F1" s="764">
        <v>6</v>
      </c>
      <c r="G1" s="765">
        <v>7</v>
      </c>
      <c r="H1" s="1540"/>
    </row>
    <row r="2" spans="1:17" s="402" customFormat="1" ht="18.75" customHeight="1" x14ac:dyDescent="0.25">
      <c r="A2" s="1875" t="s">
        <v>2093</v>
      </c>
      <c r="B2" s="1876"/>
      <c r="C2" s="1876"/>
      <c r="D2" s="1876"/>
      <c r="E2" s="1876"/>
      <c r="F2" s="766"/>
      <c r="G2" s="1246"/>
      <c r="H2" s="1541" t="str">
        <f>A$4</f>
        <v>Malanga colocasia</v>
      </c>
    </row>
    <row r="3" spans="1:17" s="402" customFormat="1" ht="18" x14ac:dyDescent="0.25">
      <c r="A3" s="1917" t="s">
        <v>233</v>
      </c>
      <c r="B3" s="1918"/>
      <c r="C3" s="1918"/>
      <c r="D3" s="1918"/>
      <c r="E3" s="1918"/>
      <c r="F3" s="767"/>
      <c r="G3" s="1247"/>
      <c r="H3" s="1541" t="str">
        <f t="shared" ref="H3:H16" si="0">A$4</f>
        <v>Malanga colocasia</v>
      </c>
    </row>
    <row r="4" spans="1:17" s="402" customFormat="1" ht="18.75" thickBot="1" x14ac:dyDescent="0.3">
      <c r="A4" s="507" t="s">
        <v>321</v>
      </c>
      <c r="B4" s="508"/>
      <c r="C4" s="508"/>
      <c r="D4" s="508"/>
      <c r="E4" s="508"/>
      <c r="F4" s="768"/>
      <c r="G4" s="1248"/>
      <c r="H4" s="1541" t="str">
        <f t="shared" si="0"/>
        <v>Malanga colocasia</v>
      </c>
    </row>
    <row r="5" spans="1:17" s="402" customFormat="1" ht="24" customHeight="1" x14ac:dyDescent="0.25">
      <c r="A5" s="1877" t="s">
        <v>1974</v>
      </c>
      <c r="B5" s="1877" t="s">
        <v>1969</v>
      </c>
      <c r="C5" s="1896" t="s">
        <v>1970</v>
      </c>
      <c r="D5" s="1879" t="s">
        <v>1971</v>
      </c>
      <c r="E5" s="1881" t="s">
        <v>1972</v>
      </c>
      <c r="F5" s="1892" t="s">
        <v>1973</v>
      </c>
      <c r="G5" s="1894">
        <v>9.09</v>
      </c>
      <c r="H5" s="1541" t="str">
        <f t="shared" si="0"/>
        <v>Malanga colocasia</v>
      </c>
      <c r="O5" s="402">
        <v>5</v>
      </c>
      <c r="P5" s="402">
        <v>3.35</v>
      </c>
      <c r="Q5" s="402">
        <f>P5/O5</f>
        <v>0.67</v>
      </c>
    </row>
    <row r="6" spans="1:17" s="402" customFormat="1" ht="24" customHeight="1" thickBot="1" x14ac:dyDescent="0.3">
      <c r="A6" s="1878"/>
      <c r="B6" s="1882"/>
      <c r="C6" s="1880"/>
      <c r="D6" s="1880"/>
      <c r="E6" s="1880"/>
      <c r="F6" s="1893"/>
      <c r="G6" s="1895"/>
      <c r="H6" s="1541" t="str">
        <f t="shared" si="0"/>
        <v>Malanga colocasia</v>
      </c>
      <c r="O6" s="402">
        <f>P6/Q6</f>
        <v>10.08955223880597</v>
      </c>
      <c r="P6" s="402">
        <v>6.76</v>
      </c>
      <c r="Q6" s="402">
        <v>0.67</v>
      </c>
    </row>
    <row r="7" spans="1:17" s="425" customFormat="1" ht="18" x14ac:dyDescent="0.25">
      <c r="A7" s="422">
        <v>1</v>
      </c>
      <c r="B7" s="423">
        <v>2</v>
      </c>
      <c r="C7" s="424">
        <v>3</v>
      </c>
      <c r="D7" s="423">
        <v>4</v>
      </c>
      <c r="E7" s="424">
        <v>5</v>
      </c>
      <c r="F7" s="769">
        <v>6</v>
      </c>
      <c r="G7" s="1249">
        <v>7</v>
      </c>
      <c r="H7" s="1541" t="str">
        <f t="shared" si="0"/>
        <v>Malanga colocasia</v>
      </c>
    </row>
    <row r="8" spans="1:17" s="402" customFormat="1" ht="18" x14ac:dyDescent="0.25">
      <c r="A8" s="411" t="s">
        <v>293</v>
      </c>
      <c r="B8" s="412" t="s">
        <v>294</v>
      </c>
      <c r="C8" s="413">
        <v>1</v>
      </c>
      <c r="D8" s="414">
        <v>400</v>
      </c>
      <c r="E8" s="414">
        <v>240</v>
      </c>
      <c r="F8" s="770">
        <f>D8*E8</f>
        <v>96000</v>
      </c>
      <c r="G8" s="1250">
        <f>F8*9.09%</f>
        <v>8726.4</v>
      </c>
      <c r="H8" s="1541" t="str">
        <f t="shared" si="0"/>
        <v>Malanga colocasia</v>
      </c>
    </row>
    <row r="9" spans="1:17" s="402" customFormat="1" ht="18" x14ac:dyDescent="0.25">
      <c r="A9" s="411"/>
      <c r="B9" s="412"/>
      <c r="C9" s="413"/>
      <c r="D9" s="414"/>
      <c r="E9" s="414"/>
      <c r="F9" s="770"/>
      <c r="G9" s="1250"/>
      <c r="H9" s="1541" t="str">
        <f t="shared" si="0"/>
        <v>Malanga colocasia</v>
      </c>
    </row>
    <row r="10" spans="1:17" s="402" customFormat="1" ht="18" x14ac:dyDescent="0.25">
      <c r="A10" s="411"/>
      <c r="B10" s="412"/>
      <c r="C10" s="413"/>
      <c r="D10" s="414"/>
      <c r="E10" s="414"/>
      <c r="F10" s="770"/>
      <c r="G10" s="1250"/>
      <c r="H10" s="1541" t="str">
        <f t="shared" si="0"/>
        <v>Malanga colocasia</v>
      </c>
    </row>
    <row r="11" spans="1:17" s="402" customFormat="1" ht="18" x14ac:dyDescent="0.25">
      <c r="A11" s="416" t="s">
        <v>219</v>
      </c>
      <c r="B11" s="417"/>
      <c r="C11" s="418"/>
      <c r="D11" s="419"/>
      <c r="E11" s="420"/>
      <c r="F11" s="771">
        <f>SUM(F8:F10)</f>
        <v>96000</v>
      </c>
      <c r="G11" s="1250">
        <f>SUM(G8:G10)</f>
        <v>8726.4</v>
      </c>
      <c r="H11" s="1541" t="str">
        <f t="shared" si="0"/>
        <v>Malanga colocasia</v>
      </c>
    </row>
    <row r="12" spans="1:17" s="402" customFormat="1" ht="18" x14ac:dyDescent="0.25">
      <c r="A12" s="1915"/>
      <c r="B12" s="1916"/>
      <c r="C12" s="1916"/>
      <c r="D12" s="1916"/>
      <c r="E12" s="1916"/>
      <c r="F12" s="770"/>
      <c r="G12" s="1251"/>
      <c r="H12" s="1541" t="str">
        <f t="shared" si="0"/>
        <v>Malanga colocasia</v>
      </c>
    </row>
    <row r="13" spans="1:17" s="402" customFormat="1" ht="18" x14ac:dyDescent="0.25">
      <c r="A13" s="1923" t="s">
        <v>232</v>
      </c>
      <c r="B13" s="1924"/>
      <c r="C13" s="1924"/>
      <c r="D13" s="430"/>
      <c r="E13" s="415"/>
      <c r="F13" s="772" t="s">
        <v>244</v>
      </c>
      <c r="G13" s="1251"/>
      <c r="H13" s="1541" t="str">
        <f t="shared" si="0"/>
        <v>Malanga colocasia</v>
      </c>
    </row>
    <row r="14" spans="1:17" s="402" customFormat="1" ht="18" x14ac:dyDescent="0.25">
      <c r="A14" s="1925"/>
      <c r="B14" s="1926"/>
      <c r="C14" s="1926"/>
      <c r="D14" s="430"/>
      <c r="E14" s="415"/>
      <c r="F14" s="1927">
        <f ca="1">TODAY()</f>
        <v>45398</v>
      </c>
      <c r="G14" s="1928"/>
      <c r="H14" s="1541" t="str">
        <f t="shared" si="0"/>
        <v>Malanga colocasia</v>
      </c>
    </row>
    <row r="15" spans="1:17" s="402" customFormat="1" ht="18" x14ac:dyDescent="0.25">
      <c r="A15" s="1929" t="s">
        <v>243</v>
      </c>
      <c r="B15" s="1924"/>
      <c r="C15" s="1924"/>
      <c r="D15" s="430"/>
      <c r="E15" s="415"/>
      <c r="F15" s="773"/>
      <c r="G15" s="1251"/>
      <c r="H15" s="1541" t="str">
        <f t="shared" si="0"/>
        <v>Malanga colocasia</v>
      </c>
    </row>
    <row r="16" spans="1:17" s="402" customFormat="1" ht="18.75" thickBot="1" x14ac:dyDescent="0.3">
      <c r="A16" s="1930"/>
      <c r="B16" s="1931"/>
      <c r="C16" s="1931"/>
      <c r="D16" s="431"/>
      <c r="E16" s="432"/>
      <c r="F16" s="774"/>
      <c r="G16" s="1252"/>
      <c r="H16" s="1541" t="str">
        <f t="shared" si="0"/>
        <v>Malanga colocasia</v>
      </c>
    </row>
    <row r="17" spans="1:12" s="402" customFormat="1" ht="18.75" customHeight="1" x14ac:dyDescent="0.25">
      <c r="A17" s="1875" t="s">
        <v>2093</v>
      </c>
      <c r="B17" s="1876"/>
      <c r="C17" s="1876"/>
      <c r="D17" s="1876"/>
      <c r="E17" s="1876"/>
      <c r="F17" s="766"/>
      <c r="G17" s="1246"/>
      <c r="H17" s="1541" t="str">
        <f>A$19</f>
        <v>Malanga xanthosoma</v>
      </c>
      <c r="I17" s="514"/>
      <c r="J17" s="514"/>
      <c r="K17" s="514"/>
      <c r="L17" s="514"/>
    </row>
    <row r="18" spans="1:12" s="402" customFormat="1" ht="18" x14ac:dyDescent="0.25">
      <c r="A18" s="1917" t="s">
        <v>233</v>
      </c>
      <c r="B18" s="1918"/>
      <c r="C18" s="1918"/>
      <c r="D18" s="1918"/>
      <c r="E18" s="1918"/>
      <c r="F18" s="767"/>
      <c r="G18" s="1247"/>
      <c r="H18" s="1541" t="str">
        <f t="shared" ref="H18:H31" si="1">A$19</f>
        <v>Malanga xanthosoma</v>
      </c>
    </row>
    <row r="19" spans="1:12" s="402" customFormat="1" ht="18.75" thickBot="1" x14ac:dyDescent="0.3">
      <c r="A19" s="507" t="s">
        <v>24</v>
      </c>
      <c r="B19" s="508"/>
      <c r="C19" s="508"/>
      <c r="D19" s="508"/>
      <c r="E19" s="508"/>
      <c r="F19" s="768"/>
      <c r="G19" s="1248"/>
      <c r="H19" s="1541" t="str">
        <f t="shared" si="1"/>
        <v>Malanga xanthosoma</v>
      </c>
    </row>
    <row r="20" spans="1:12" s="402" customFormat="1" ht="24" customHeight="1" x14ac:dyDescent="0.25">
      <c r="A20" s="1877" t="s">
        <v>1974</v>
      </c>
      <c r="B20" s="1877" t="s">
        <v>1969</v>
      </c>
      <c r="C20" s="1896" t="s">
        <v>1970</v>
      </c>
      <c r="D20" s="1879" t="s">
        <v>1971</v>
      </c>
      <c r="E20" s="1881" t="s">
        <v>1972</v>
      </c>
      <c r="F20" s="1892" t="s">
        <v>1973</v>
      </c>
      <c r="G20" s="1894">
        <v>9.09</v>
      </c>
      <c r="H20" s="1541" t="str">
        <f t="shared" si="1"/>
        <v>Malanga xanthosoma</v>
      </c>
    </row>
    <row r="21" spans="1:12" s="402" customFormat="1" ht="24" customHeight="1" thickBot="1" x14ac:dyDescent="0.3">
      <c r="A21" s="1878"/>
      <c r="B21" s="1882"/>
      <c r="C21" s="1880"/>
      <c r="D21" s="1880"/>
      <c r="E21" s="1880"/>
      <c r="F21" s="1893"/>
      <c r="G21" s="1895"/>
      <c r="H21" s="1541" t="str">
        <f t="shared" si="1"/>
        <v>Malanga xanthosoma</v>
      </c>
    </row>
    <row r="22" spans="1:12" s="425" customFormat="1" ht="18" x14ac:dyDescent="0.25">
      <c r="A22" s="422">
        <v>1</v>
      </c>
      <c r="B22" s="423">
        <v>2</v>
      </c>
      <c r="C22" s="424">
        <v>3</v>
      </c>
      <c r="D22" s="423">
        <v>4</v>
      </c>
      <c r="E22" s="424">
        <v>5</v>
      </c>
      <c r="F22" s="769">
        <v>6</v>
      </c>
      <c r="G22" s="1249">
        <v>7</v>
      </c>
      <c r="H22" s="1541" t="str">
        <f t="shared" si="1"/>
        <v>Malanga xanthosoma</v>
      </c>
      <c r="I22" s="1273">
        <f>'FICHA DE COSTO'!D81*1.2</f>
        <v>2103.9089455749772</v>
      </c>
    </row>
    <row r="23" spans="1:12" s="402" customFormat="1" ht="18" x14ac:dyDescent="0.25">
      <c r="A23" s="411" t="s">
        <v>293</v>
      </c>
      <c r="B23" s="412" t="s">
        <v>294</v>
      </c>
      <c r="C23" s="413">
        <v>1</v>
      </c>
      <c r="D23" s="414">
        <v>400</v>
      </c>
      <c r="E23" s="414">
        <v>280</v>
      </c>
      <c r="F23" s="770">
        <f>D23*E23</f>
        <v>112000</v>
      </c>
      <c r="G23" s="1250">
        <f>F23*9.09%</f>
        <v>10180.799999999999</v>
      </c>
      <c r="H23" s="1541" t="str">
        <f t="shared" si="1"/>
        <v>Malanga xanthosoma</v>
      </c>
    </row>
    <row r="24" spans="1:12" s="402" customFormat="1" ht="18" x14ac:dyDescent="0.25">
      <c r="A24" s="426"/>
      <c r="B24" s="427"/>
      <c r="C24" s="428"/>
      <c r="D24" s="414"/>
      <c r="E24" s="429"/>
      <c r="F24" s="770"/>
      <c r="G24" s="1250"/>
      <c r="H24" s="1541" t="str">
        <f t="shared" si="1"/>
        <v>Malanga xanthosoma</v>
      </c>
    </row>
    <row r="25" spans="1:12" s="402" customFormat="1" ht="18" x14ac:dyDescent="0.25">
      <c r="A25" s="411"/>
      <c r="B25" s="412"/>
      <c r="C25" s="413"/>
      <c r="D25" s="414"/>
      <c r="E25" s="414"/>
      <c r="F25" s="770"/>
      <c r="G25" s="1250"/>
      <c r="H25" s="1541" t="str">
        <f t="shared" si="1"/>
        <v>Malanga xanthosoma</v>
      </c>
    </row>
    <row r="26" spans="1:12" s="402" customFormat="1" ht="18" x14ac:dyDescent="0.25">
      <c r="A26" s="416" t="s">
        <v>219</v>
      </c>
      <c r="B26" s="417"/>
      <c r="C26" s="418"/>
      <c r="D26" s="419"/>
      <c r="E26" s="420"/>
      <c r="F26" s="771">
        <f>SUM(F23:F25)</f>
        <v>112000</v>
      </c>
      <c r="G26" s="1250">
        <f>SUM(G23:G25)</f>
        <v>10180.799999999999</v>
      </c>
      <c r="H26" s="1541" t="str">
        <f t="shared" si="1"/>
        <v>Malanga xanthosoma</v>
      </c>
    </row>
    <row r="27" spans="1:12" s="402" customFormat="1" ht="18" x14ac:dyDescent="0.25">
      <c r="A27" s="1915"/>
      <c r="B27" s="1916"/>
      <c r="C27" s="1916"/>
      <c r="D27" s="1916"/>
      <c r="E27" s="1916"/>
      <c r="F27" s="770"/>
      <c r="G27" s="1251"/>
      <c r="H27" s="1541" t="str">
        <f t="shared" si="1"/>
        <v>Malanga xanthosoma</v>
      </c>
    </row>
    <row r="28" spans="1:12" s="402" customFormat="1" ht="18" x14ac:dyDescent="0.25">
      <c r="A28" s="1923" t="s">
        <v>232</v>
      </c>
      <c r="B28" s="1924"/>
      <c r="C28" s="1924"/>
      <c r="D28" s="430"/>
      <c r="E28" s="415"/>
      <c r="F28" s="772" t="s">
        <v>244</v>
      </c>
      <c r="G28" s="1251"/>
      <c r="H28" s="1541" t="str">
        <f t="shared" si="1"/>
        <v>Malanga xanthosoma</v>
      </c>
    </row>
    <row r="29" spans="1:12" s="402" customFormat="1" ht="18" x14ac:dyDescent="0.25">
      <c r="A29" s="1925"/>
      <c r="B29" s="1926"/>
      <c r="C29" s="1926"/>
      <c r="D29" s="430"/>
      <c r="E29" s="415"/>
      <c r="F29" s="1927">
        <f ca="1">TODAY()</f>
        <v>45398</v>
      </c>
      <c r="G29" s="1928"/>
      <c r="H29" s="1541" t="str">
        <f t="shared" si="1"/>
        <v>Malanga xanthosoma</v>
      </c>
    </row>
    <row r="30" spans="1:12" s="402" customFormat="1" ht="18" x14ac:dyDescent="0.25">
      <c r="A30" s="1929" t="s">
        <v>243</v>
      </c>
      <c r="B30" s="1924"/>
      <c r="C30" s="1924"/>
      <c r="D30" s="430"/>
      <c r="E30" s="415"/>
      <c r="F30" s="773"/>
      <c r="G30" s="1251"/>
      <c r="H30" s="1541" t="str">
        <f t="shared" si="1"/>
        <v>Malanga xanthosoma</v>
      </c>
    </row>
    <row r="31" spans="1:12" s="402" customFormat="1" ht="18.75" thickBot="1" x14ac:dyDescent="0.3">
      <c r="A31" s="1930"/>
      <c r="B31" s="1931"/>
      <c r="C31" s="1931"/>
      <c r="D31" s="431"/>
      <c r="E31" s="432"/>
      <c r="F31" s="774"/>
      <c r="G31" s="1252"/>
      <c r="H31" s="1541" t="str">
        <f t="shared" si="1"/>
        <v>Malanga xanthosoma</v>
      </c>
    </row>
    <row r="32" spans="1:12" s="402" customFormat="1" ht="18.75" customHeight="1" x14ac:dyDescent="0.25">
      <c r="A32" s="1875" t="s">
        <v>2093</v>
      </c>
      <c r="B32" s="1876"/>
      <c r="C32" s="1876"/>
      <c r="D32" s="1876"/>
      <c r="E32" s="1876"/>
      <c r="F32" s="766"/>
      <c r="G32" s="1246"/>
      <c r="H32" s="1541" t="str">
        <f>A$34</f>
        <v>Yuca</v>
      </c>
    </row>
    <row r="33" spans="1:9" s="402" customFormat="1" ht="18" x14ac:dyDescent="0.25">
      <c r="A33" s="1917" t="s">
        <v>233</v>
      </c>
      <c r="B33" s="1918"/>
      <c r="C33" s="1918"/>
      <c r="D33" s="1918"/>
      <c r="E33" s="1918"/>
      <c r="F33" s="767"/>
      <c r="G33" s="1247"/>
      <c r="H33" s="1541" t="str">
        <f t="shared" ref="H33:H46" si="2">A$34</f>
        <v>Yuca</v>
      </c>
    </row>
    <row r="34" spans="1:9" s="402" customFormat="1" ht="18.75" thickBot="1" x14ac:dyDescent="0.3">
      <c r="A34" s="507" t="s">
        <v>316</v>
      </c>
      <c r="B34" s="508"/>
      <c r="C34" s="508"/>
      <c r="D34" s="508"/>
      <c r="E34" s="508"/>
      <c r="F34" s="768"/>
      <c r="G34" s="1248"/>
      <c r="H34" s="1541" t="str">
        <f t="shared" si="2"/>
        <v>Yuca</v>
      </c>
    </row>
    <row r="35" spans="1:9" s="402" customFormat="1" ht="24" customHeight="1" x14ac:dyDescent="0.25">
      <c r="A35" s="1877" t="s">
        <v>1974</v>
      </c>
      <c r="B35" s="1877" t="s">
        <v>1969</v>
      </c>
      <c r="C35" s="1896" t="s">
        <v>1970</v>
      </c>
      <c r="D35" s="1879" t="s">
        <v>1971</v>
      </c>
      <c r="E35" s="1881" t="s">
        <v>1972</v>
      </c>
      <c r="F35" s="1892" t="s">
        <v>1973</v>
      </c>
      <c r="G35" s="1894">
        <v>9.09</v>
      </c>
      <c r="H35" s="1541" t="str">
        <f t="shared" si="2"/>
        <v>Yuca</v>
      </c>
    </row>
    <row r="36" spans="1:9" s="402" customFormat="1" ht="24" customHeight="1" thickBot="1" x14ac:dyDescent="0.3">
      <c r="A36" s="1878"/>
      <c r="B36" s="1882"/>
      <c r="C36" s="1880"/>
      <c r="D36" s="1880"/>
      <c r="E36" s="1880"/>
      <c r="F36" s="1893"/>
      <c r="G36" s="1895"/>
      <c r="H36" s="1541" t="str">
        <f t="shared" si="2"/>
        <v>Yuca</v>
      </c>
      <c r="I36" s="965"/>
    </row>
    <row r="37" spans="1:9" s="425" customFormat="1" ht="18" x14ac:dyDescent="0.25">
      <c r="A37" s="422">
        <v>1</v>
      </c>
      <c r="B37" s="423">
        <v>2</v>
      </c>
      <c r="C37" s="424">
        <v>3</v>
      </c>
      <c r="D37" s="423">
        <v>4</v>
      </c>
      <c r="E37" s="424">
        <v>5</v>
      </c>
      <c r="F37" s="769">
        <v>6</v>
      </c>
      <c r="G37" s="1249">
        <v>7</v>
      </c>
      <c r="H37" s="1541" t="str">
        <f t="shared" si="2"/>
        <v>Yuca</v>
      </c>
    </row>
    <row r="38" spans="1:9" s="402" customFormat="1" ht="18" x14ac:dyDescent="0.25">
      <c r="A38" s="1253"/>
      <c r="B38" s="412"/>
      <c r="C38" s="413"/>
      <c r="D38" s="414"/>
      <c r="E38" s="414">
        <f>'CT YUCA'!O128</f>
        <v>0</v>
      </c>
      <c r="F38" s="770">
        <f>D38*E38</f>
        <v>0</v>
      </c>
      <c r="G38" s="1250">
        <f>F38*9.09%</f>
        <v>0</v>
      </c>
      <c r="H38" s="1541" t="str">
        <f t="shared" si="2"/>
        <v>Yuca</v>
      </c>
    </row>
    <row r="39" spans="1:9" s="402" customFormat="1" ht="18" x14ac:dyDescent="0.25">
      <c r="A39" s="411" t="s">
        <v>293</v>
      </c>
      <c r="B39" s="412" t="s">
        <v>294</v>
      </c>
      <c r="C39" s="413"/>
      <c r="D39" s="414">
        <v>400</v>
      </c>
      <c r="E39" s="414">
        <v>230</v>
      </c>
      <c r="F39" s="770">
        <f>D39*E39</f>
        <v>92000</v>
      </c>
      <c r="G39" s="1250">
        <f>F39*9.09%</f>
        <v>8362.7999999999993</v>
      </c>
      <c r="H39" s="1541" t="str">
        <f t="shared" si="2"/>
        <v>Yuca</v>
      </c>
    </row>
    <row r="40" spans="1:9" s="402" customFormat="1" ht="18" x14ac:dyDescent="0.25">
      <c r="A40" s="411"/>
      <c r="B40" s="412"/>
      <c r="C40" s="413"/>
      <c r="D40" s="414"/>
      <c r="E40" s="414"/>
      <c r="F40" s="770"/>
      <c r="G40" s="1250"/>
      <c r="H40" s="1541" t="str">
        <f t="shared" si="2"/>
        <v>Yuca</v>
      </c>
    </row>
    <row r="41" spans="1:9" s="402" customFormat="1" ht="18" x14ac:dyDescent="0.25">
      <c r="A41" s="416" t="s">
        <v>219</v>
      </c>
      <c r="B41" s="417"/>
      <c r="C41" s="418"/>
      <c r="D41" s="419"/>
      <c r="E41" s="420"/>
      <c r="F41" s="771">
        <f>SUM(F38:F40)</f>
        <v>92000</v>
      </c>
      <c r="G41" s="1250">
        <f>SUM(G38:G40)</f>
        <v>8362.7999999999993</v>
      </c>
      <c r="H41" s="1541" t="str">
        <f t="shared" si="2"/>
        <v>Yuca</v>
      </c>
    </row>
    <row r="42" spans="1:9" s="402" customFormat="1" ht="18" x14ac:dyDescent="0.25">
      <c r="A42" s="1915"/>
      <c r="B42" s="1916"/>
      <c r="C42" s="1916"/>
      <c r="D42" s="1916"/>
      <c r="E42" s="1916"/>
      <c r="F42" s="770"/>
      <c r="G42" s="1251"/>
      <c r="H42" s="1541" t="str">
        <f t="shared" si="2"/>
        <v>Yuca</v>
      </c>
    </row>
    <row r="43" spans="1:9" s="402" customFormat="1" ht="18" x14ac:dyDescent="0.25">
      <c r="A43" s="1923" t="s">
        <v>232</v>
      </c>
      <c r="B43" s="1924"/>
      <c r="C43" s="1924"/>
      <c r="D43" s="430"/>
      <c r="E43" s="415"/>
      <c r="F43" s="772" t="s">
        <v>244</v>
      </c>
      <c r="G43" s="1251"/>
      <c r="H43" s="1541" t="str">
        <f t="shared" si="2"/>
        <v>Yuca</v>
      </c>
    </row>
    <row r="44" spans="1:9" s="402" customFormat="1" ht="18" x14ac:dyDescent="0.25">
      <c r="A44" s="1925"/>
      <c r="B44" s="1926"/>
      <c r="C44" s="1926"/>
      <c r="D44" s="430"/>
      <c r="E44" s="415"/>
      <c r="F44" s="1927">
        <f ca="1">TODAY()</f>
        <v>45398</v>
      </c>
      <c r="G44" s="1928"/>
      <c r="H44" s="1541" t="str">
        <f t="shared" si="2"/>
        <v>Yuca</v>
      </c>
    </row>
    <row r="45" spans="1:9" s="402" customFormat="1" ht="18" x14ac:dyDescent="0.25">
      <c r="A45" s="1929" t="s">
        <v>243</v>
      </c>
      <c r="B45" s="1924"/>
      <c r="C45" s="1924"/>
      <c r="D45" s="430"/>
      <c r="E45" s="415"/>
      <c r="F45" s="773"/>
      <c r="G45" s="1251"/>
      <c r="H45" s="1541" t="str">
        <f t="shared" si="2"/>
        <v>Yuca</v>
      </c>
    </row>
    <row r="46" spans="1:9" s="402" customFormat="1" ht="18.75" thickBot="1" x14ac:dyDescent="0.3">
      <c r="A46" s="1930"/>
      <c r="B46" s="1931"/>
      <c r="C46" s="1931"/>
      <c r="D46" s="431"/>
      <c r="E46" s="432"/>
      <c r="F46" s="774"/>
      <c r="G46" s="1252"/>
      <c r="H46" s="1541" t="str">
        <f t="shared" si="2"/>
        <v>Yuca</v>
      </c>
    </row>
    <row r="47" spans="1:9" s="402" customFormat="1" ht="18.75" customHeight="1" x14ac:dyDescent="0.25">
      <c r="A47" s="1875" t="s">
        <v>2093</v>
      </c>
      <c r="B47" s="1876"/>
      <c r="C47" s="1876"/>
      <c r="D47" s="1876"/>
      <c r="E47" s="1876"/>
      <c r="F47" s="766"/>
      <c r="G47" s="1246"/>
      <c r="H47" s="1542" t="str">
        <f>A$50</f>
        <v>Plátano vianda extradenso</v>
      </c>
    </row>
    <row r="48" spans="1:9" s="402" customFormat="1" ht="15.75" x14ac:dyDescent="0.25">
      <c r="A48" s="1917" t="s">
        <v>233</v>
      </c>
      <c r="B48" s="1918"/>
      <c r="C48" s="1918"/>
      <c r="D48" s="1918"/>
      <c r="E48" s="1918"/>
      <c r="F48" s="767"/>
      <c r="G48" s="1247"/>
      <c r="H48" s="1542" t="str">
        <f t="shared" ref="H48:H62" si="3">A$50</f>
        <v>Plátano vianda extradenso</v>
      </c>
    </row>
    <row r="49" spans="1:8" s="402" customFormat="1" x14ac:dyDescent="0.2">
      <c r="A49" s="403"/>
      <c r="B49" s="404"/>
      <c r="C49" s="405"/>
      <c r="D49" s="404"/>
      <c r="E49" s="406"/>
      <c r="F49" s="767"/>
      <c r="G49" s="1247"/>
      <c r="H49" s="1542" t="str">
        <f t="shared" si="3"/>
        <v>Plátano vianda extradenso</v>
      </c>
    </row>
    <row r="50" spans="1:8" s="402" customFormat="1" ht="16.5" thickBot="1" x14ac:dyDescent="0.3">
      <c r="A50" s="1921" t="s">
        <v>2084</v>
      </c>
      <c r="B50" s="1922"/>
      <c r="C50" s="1922"/>
      <c r="D50" s="1922"/>
      <c r="E50" s="1922"/>
      <c r="F50" s="768"/>
      <c r="G50" s="1248"/>
      <c r="H50" s="1542" t="str">
        <f t="shared" si="3"/>
        <v>Plátano vianda extradenso</v>
      </c>
    </row>
    <row r="51" spans="1:8" s="402" customFormat="1" ht="24" customHeight="1" x14ac:dyDescent="0.2">
      <c r="A51" s="1877" t="s">
        <v>1974</v>
      </c>
      <c r="B51" s="1877" t="s">
        <v>1969</v>
      </c>
      <c r="C51" s="1896" t="s">
        <v>1970</v>
      </c>
      <c r="D51" s="1879" t="s">
        <v>1971</v>
      </c>
      <c r="E51" s="1881" t="s">
        <v>1972</v>
      </c>
      <c r="F51" s="1892" t="s">
        <v>1973</v>
      </c>
      <c r="G51" s="1894">
        <v>9.09</v>
      </c>
      <c r="H51" s="1542" t="str">
        <f t="shared" si="3"/>
        <v>Plátano vianda extradenso</v>
      </c>
    </row>
    <row r="52" spans="1:8" s="402" customFormat="1" ht="24" customHeight="1" thickBot="1" x14ac:dyDescent="0.25">
      <c r="A52" s="1878"/>
      <c r="B52" s="1882"/>
      <c r="C52" s="1880"/>
      <c r="D52" s="1880"/>
      <c r="E52" s="1880"/>
      <c r="F52" s="1893"/>
      <c r="G52" s="1895"/>
      <c r="H52" s="1542" t="str">
        <f t="shared" si="3"/>
        <v>Plátano vianda extradenso</v>
      </c>
    </row>
    <row r="53" spans="1:8" s="425" customFormat="1" x14ac:dyDescent="0.2">
      <c r="A53" s="422">
        <v>1</v>
      </c>
      <c r="B53" s="423">
        <v>2</v>
      </c>
      <c r="C53" s="424">
        <v>3</v>
      </c>
      <c r="D53" s="423">
        <v>4</v>
      </c>
      <c r="E53" s="424">
        <v>5</v>
      </c>
      <c r="F53" s="769">
        <v>6</v>
      </c>
      <c r="G53" s="1249">
        <v>7</v>
      </c>
      <c r="H53" s="1542" t="str">
        <f t="shared" si="3"/>
        <v>Plátano vianda extradenso</v>
      </c>
    </row>
    <row r="54" spans="1:8" s="402" customFormat="1" x14ac:dyDescent="0.2">
      <c r="A54" s="411" t="s">
        <v>293</v>
      </c>
      <c r="B54" s="412" t="s">
        <v>294</v>
      </c>
      <c r="C54" s="413">
        <v>1</v>
      </c>
      <c r="D54" s="414">
        <v>400</v>
      </c>
      <c r="E54" s="414">
        <v>312</v>
      </c>
      <c r="F54" s="770">
        <f>D54*E54</f>
        <v>124800</v>
      </c>
      <c r="G54" s="1250">
        <f>F54*9.09%</f>
        <v>11344.32</v>
      </c>
      <c r="H54" s="1542" t="str">
        <f t="shared" si="3"/>
        <v>Plátano vianda extradenso</v>
      </c>
    </row>
    <row r="55" spans="1:8" s="402" customFormat="1" x14ac:dyDescent="0.2">
      <c r="A55" s="411"/>
      <c r="B55" s="412"/>
      <c r="C55" s="413"/>
      <c r="D55" s="414"/>
      <c r="E55" s="414"/>
      <c r="F55" s="770"/>
      <c r="G55" s="1250"/>
      <c r="H55" s="1542" t="str">
        <f t="shared" si="3"/>
        <v>Plátano vianda extradenso</v>
      </c>
    </row>
    <row r="56" spans="1:8" s="402" customFormat="1" x14ac:dyDescent="0.2">
      <c r="A56" s="411"/>
      <c r="B56" s="412"/>
      <c r="C56" s="413"/>
      <c r="D56" s="414"/>
      <c r="E56" s="414"/>
      <c r="F56" s="770"/>
      <c r="G56" s="1250"/>
      <c r="H56" s="1542" t="str">
        <f t="shared" si="3"/>
        <v>Plátano vianda extradenso</v>
      </c>
    </row>
    <row r="57" spans="1:8" s="402" customFormat="1" x14ac:dyDescent="0.2">
      <c r="A57" s="416" t="s">
        <v>219</v>
      </c>
      <c r="B57" s="417"/>
      <c r="C57" s="418"/>
      <c r="D57" s="419"/>
      <c r="E57" s="420"/>
      <c r="F57" s="771">
        <f>SUM(F54:F56)</f>
        <v>124800</v>
      </c>
      <c r="G57" s="1250">
        <f>SUM(G54:G56)</f>
        <v>11344.32</v>
      </c>
      <c r="H57" s="1542" t="str">
        <f t="shared" si="3"/>
        <v>Plátano vianda extradenso</v>
      </c>
    </row>
    <row r="58" spans="1:8" s="402" customFormat="1" x14ac:dyDescent="0.2">
      <c r="A58" s="1915"/>
      <c r="B58" s="1916"/>
      <c r="C58" s="1916"/>
      <c r="D58" s="1916"/>
      <c r="E58" s="1916"/>
      <c r="F58" s="770"/>
      <c r="G58" s="1251"/>
      <c r="H58" s="1542" t="str">
        <f t="shared" si="3"/>
        <v>Plátano vianda extradenso</v>
      </c>
    </row>
    <row r="59" spans="1:8" s="402" customFormat="1" x14ac:dyDescent="0.2">
      <c r="A59" s="1923" t="s">
        <v>232</v>
      </c>
      <c r="B59" s="1924"/>
      <c r="C59" s="1924"/>
      <c r="D59" s="430"/>
      <c r="E59" s="415"/>
      <c r="F59" s="772" t="s">
        <v>244</v>
      </c>
      <c r="G59" s="1251"/>
      <c r="H59" s="1542" t="str">
        <f t="shared" si="3"/>
        <v>Plátano vianda extradenso</v>
      </c>
    </row>
    <row r="60" spans="1:8" s="402" customFormat="1" x14ac:dyDescent="0.2">
      <c r="A60" s="1925"/>
      <c r="B60" s="1926"/>
      <c r="C60" s="1926"/>
      <c r="D60" s="430"/>
      <c r="E60" s="415"/>
      <c r="F60" s="1927">
        <f ca="1">TODAY()</f>
        <v>45398</v>
      </c>
      <c r="G60" s="1928"/>
      <c r="H60" s="1542" t="str">
        <f t="shared" si="3"/>
        <v>Plátano vianda extradenso</v>
      </c>
    </row>
    <row r="61" spans="1:8" s="402" customFormat="1" x14ac:dyDescent="0.2">
      <c r="A61" s="1929" t="s">
        <v>243</v>
      </c>
      <c r="B61" s="1924"/>
      <c r="C61" s="1924"/>
      <c r="D61" s="430"/>
      <c r="E61" s="415"/>
      <c r="F61" s="773"/>
      <c r="G61" s="1251"/>
      <c r="H61" s="1542" t="str">
        <f t="shared" si="3"/>
        <v>Plátano vianda extradenso</v>
      </c>
    </row>
    <row r="62" spans="1:8" s="402" customFormat="1" ht="13.5" thickBot="1" x14ac:dyDescent="0.25">
      <c r="A62" s="1930"/>
      <c r="B62" s="1931"/>
      <c r="C62" s="1931"/>
      <c r="D62" s="431"/>
      <c r="E62" s="432"/>
      <c r="F62" s="774"/>
      <c r="G62" s="1252"/>
      <c r="H62" s="1542" t="str">
        <f t="shared" si="3"/>
        <v>Plátano vianda extradenso</v>
      </c>
    </row>
    <row r="63" spans="1:8" s="402" customFormat="1" ht="18.75" customHeight="1" x14ac:dyDescent="0.25">
      <c r="A63" s="1875" t="s">
        <v>2093</v>
      </c>
      <c r="B63" s="1876"/>
      <c r="C63" s="1876"/>
      <c r="D63" s="1876"/>
      <c r="E63" s="1876"/>
      <c r="F63" s="766"/>
      <c r="G63" s="1246"/>
      <c r="H63" s="1543" t="str">
        <f>A$66</f>
        <v>Plátano burro</v>
      </c>
    </row>
    <row r="64" spans="1:8" s="402" customFormat="1" ht="15.75" x14ac:dyDescent="0.25">
      <c r="A64" s="1917" t="s">
        <v>233</v>
      </c>
      <c r="B64" s="1918"/>
      <c r="C64" s="1918"/>
      <c r="D64" s="1918"/>
      <c r="E64" s="1918"/>
      <c r="F64" s="767"/>
      <c r="G64" s="1247"/>
      <c r="H64" s="1543" t="str">
        <f t="shared" ref="H64:H78" si="4">A$66</f>
        <v>Plátano burro</v>
      </c>
    </row>
    <row r="65" spans="1:8" s="402" customFormat="1" ht="15" x14ac:dyDescent="0.2">
      <c r="A65" s="403"/>
      <c r="B65" s="404"/>
      <c r="C65" s="405"/>
      <c r="D65" s="404"/>
      <c r="E65" s="406"/>
      <c r="F65" s="767"/>
      <c r="G65" s="1247"/>
      <c r="H65" s="1543" t="str">
        <f t="shared" si="4"/>
        <v>Plátano burro</v>
      </c>
    </row>
    <row r="66" spans="1:8" s="402" customFormat="1" ht="16.5" thickBot="1" x14ac:dyDescent="0.3">
      <c r="A66" s="1932" t="s">
        <v>466</v>
      </c>
      <c r="B66" s="1933"/>
      <c r="C66" s="1933"/>
      <c r="D66" s="1933"/>
      <c r="E66" s="1933"/>
      <c r="F66" s="768"/>
      <c r="G66" s="1248"/>
      <c r="H66" s="1543" t="str">
        <f t="shared" si="4"/>
        <v>Plátano burro</v>
      </c>
    </row>
    <row r="67" spans="1:8" s="402" customFormat="1" ht="24" customHeight="1" x14ac:dyDescent="0.2">
      <c r="A67" s="1877" t="s">
        <v>1974</v>
      </c>
      <c r="B67" s="1877" t="s">
        <v>1969</v>
      </c>
      <c r="C67" s="1896" t="s">
        <v>1970</v>
      </c>
      <c r="D67" s="1879" t="s">
        <v>1971</v>
      </c>
      <c r="E67" s="1881" t="s">
        <v>1972</v>
      </c>
      <c r="F67" s="1892" t="s">
        <v>1973</v>
      </c>
      <c r="G67" s="1894">
        <v>9.09</v>
      </c>
      <c r="H67" s="1543" t="str">
        <f t="shared" si="4"/>
        <v>Plátano burro</v>
      </c>
    </row>
    <row r="68" spans="1:8" s="402" customFormat="1" ht="24" customHeight="1" thickBot="1" x14ac:dyDescent="0.25">
      <c r="A68" s="1878"/>
      <c r="B68" s="1882"/>
      <c r="C68" s="1880"/>
      <c r="D68" s="1880"/>
      <c r="E68" s="1880"/>
      <c r="F68" s="1893"/>
      <c r="G68" s="1895"/>
      <c r="H68" s="1543" t="str">
        <f t="shared" si="4"/>
        <v>Plátano burro</v>
      </c>
    </row>
    <row r="69" spans="1:8" s="425" customFormat="1" ht="15" x14ac:dyDescent="0.2">
      <c r="A69" s="422">
        <v>1</v>
      </c>
      <c r="B69" s="423">
        <v>2</v>
      </c>
      <c r="C69" s="424">
        <v>3</v>
      </c>
      <c r="D69" s="423">
        <v>4</v>
      </c>
      <c r="E69" s="424">
        <v>5</v>
      </c>
      <c r="F69" s="769">
        <v>6</v>
      </c>
      <c r="G69" s="1249">
        <v>7</v>
      </c>
      <c r="H69" s="1543" t="str">
        <f t="shared" si="4"/>
        <v>Plátano burro</v>
      </c>
    </row>
    <row r="70" spans="1:8" s="402" customFormat="1" ht="15" x14ac:dyDescent="0.2">
      <c r="A70" s="411" t="s">
        <v>293</v>
      </c>
      <c r="B70" s="412" t="s">
        <v>294</v>
      </c>
      <c r="C70" s="413">
        <v>1</v>
      </c>
      <c r="D70" s="414">
        <v>400</v>
      </c>
      <c r="E70" s="414">
        <v>312</v>
      </c>
      <c r="F70" s="770">
        <f>D70*E70</f>
        <v>124800</v>
      </c>
      <c r="G70" s="1250">
        <f>F70*9.09%</f>
        <v>11344.32</v>
      </c>
      <c r="H70" s="1543" t="str">
        <f t="shared" si="4"/>
        <v>Plátano burro</v>
      </c>
    </row>
    <row r="71" spans="1:8" s="402" customFormat="1" ht="15" x14ac:dyDescent="0.2">
      <c r="A71" s="411"/>
      <c r="B71" s="412"/>
      <c r="C71" s="413"/>
      <c r="D71" s="414"/>
      <c r="E71" s="414"/>
      <c r="F71" s="770"/>
      <c r="G71" s="1250"/>
      <c r="H71" s="1543" t="str">
        <f t="shared" si="4"/>
        <v>Plátano burro</v>
      </c>
    </row>
    <row r="72" spans="1:8" s="402" customFormat="1" ht="15" x14ac:dyDescent="0.2">
      <c r="A72" s="411"/>
      <c r="B72" s="412"/>
      <c r="C72" s="413"/>
      <c r="D72" s="414"/>
      <c r="E72" s="414"/>
      <c r="F72" s="770"/>
      <c r="G72" s="1250"/>
      <c r="H72" s="1543" t="str">
        <f t="shared" si="4"/>
        <v>Plátano burro</v>
      </c>
    </row>
    <row r="73" spans="1:8" s="402" customFormat="1" ht="15" x14ac:dyDescent="0.2">
      <c r="A73" s="416" t="s">
        <v>219</v>
      </c>
      <c r="B73" s="417"/>
      <c r="C73" s="418"/>
      <c r="D73" s="419"/>
      <c r="E73" s="420"/>
      <c r="F73" s="771">
        <f>SUM(F70:F72)</f>
        <v>124800</v>
      </c>
      <c r="G73" s="1250">
        <f>SUM(G70:G72)</f>
        <v>11344.32</v>
      </c>
      <c r="H73" s="1543" t="str">
        <f t="shared" si="4"/>
        <v>Plátano burro</v>
      </c>
    </row>
    <row r="74" spans="1:8" s="402" customFormat="1" ht="15" x14ac:dyDescent="0.2">
      <c r="A74" s="1915"/>
      <c r="B74" s="1916"/>
      <c r="C74" s="1916"/>
      <c r="D74" s="1916"/>
      <c r="E74" s="1916"/>
      <c r="F74" s="770"/>
      <c r="G74" s="1251"/>
      <c r="H74" s="1543" t="str">
        <f t="shared" si="4"/>
        <v>Plátano burro</v>
      </c>
    </row>
    <row r="75" spans="1:8" s="402" customFormat="1" ht="15" x14ac:dyDescent="0.2">
      <c r="A75" s="1923" t="s">
        <v>232</v>
      </c>
      <c r="B75" s="1924"/>
      <c r="C75" s="1924"/>
      <c r="D75" s="430"/>
      <c r="E75" s="415"/>
      <c r="F75" s="772" t="s">
        <v>244</v>
      </c>
      <c r="G75" s="1251"/>
      <c r="H75" s="1543" t="str">
        <f t="shared" si="4"/>
        <v>Plátano burro</v>
      </c>
    </row>
    <row r="76" spans="1:8" s="402" customFormat="1" ht="15" x14ac:dyDescent="0.2">
      <c r="A76" s="1925"/>
      <c r="B76" s="1926"/>
      <c r="C76" s="1926"/>
      <c r="D76" s="430"/>
      <c r="E76" s="415"/>
      <c r="F76" s="1927">
        <f ca="1">TODAY()</f>
        <v>45398</v>
      </c>
      <c r="G76" s="1928"/>
      <c r="H76" s="1543" t="str">
        <f t="shared" si="4"/>
        <v>Plátano burro</v>
      </c>
    </row>
    <row r="77" spans="1:8" s="402" customFormat="1" ht="15" x14ac:dyDescent="0.2">
      <c r="A77" s="1929" t="s">
        <v>243</v>
      </c>
      <c r="B77" s="1924"/>
      <c r="C77" s="1924"/>
      <c r="D77" s="430"/>
      <c r="E77" s="415"/>
      <c r="F77" s="773"/>
      <c r="G77" s="1251"/>
      <c r="H77" s="1543" t="str">
        <f t="shared" si="4"/>
        <v>Plátano burro</v>
      </c>
    </row>
    <row r="78" spans="1:8" s="402" customFormat="1" ht="15.75" thickBot="1" x14ac:dyDescent="0.25">
      <c r="A78" s="1930"/>
      <c r="B78" s="1931"/>
      <c r="C78" s="1931"/>
      <c r="D78" s="431"/>
      <c r="E78" s="432"/>
      <c r="F78" s="774"/>
      <c r="G78" s="1252"/>
      <c r="H78" s="1543" t="str">
        <f t="shared" si="4"/>
        <v>Plátano burro</v>
      </c>
    </row>
    <row r="79" spans="1:8" s="402" customFormat="1" ht="18.75" customHeight="1" x14ac:dyDescent="0.25">
      <c r="A79" s="1875" t="s">
        <v>2093</v>
      </c>
      <c r="B79" s="1876"/>
      <c r="C79" s="1876"/>
      <c r="D79" s="1876"/>
      <c r="E79" s="1876"/>
      <c r="F79" s="766"/>
      <c r="G79" s="1246"/>
      <c r="H79" s="1542" t="str">
        <f>A$82</f>
        <v xml:space="preserve">Plátano fruta </v>
      </c>
    </row>
    <row r="80" spans="1:8" s="402" customFormat="1" ht="15.75" x14ac:dyDescent="0.25">
      <c r="A80" s="1917" t="s">
        <v>233</v>
      </c>
      <c r="B80" s="1918"/>
      <c r="C80" s="1918"/>
      <c r="D80" s="1918"/>
      <c r="E80" s="1918"/>
      <c r="F80" s="767"/>
      <c r="G80" s="1247"/>
      <c r="H80" s="1542" t="str">
        <f t="shared" ref="H80:H94" si="5">A$82</f>
        <v xml:space="preserve">Plátano fruta </v>
      </c>
    </row>
    <row r="81" spans="1:8" s="402" customFormat="1" x14ac:dyDescent="0.2">
      <c r="A81" s="403"/>
      <c r="B81" s="404"/>
      <c r="C81" s="405"/>
      <c r="D81" s="404"/>
      <c r="E81" s="406"/>
      <c r="F81" s="767"/>
      <c r="G81" s="1247"/>
      <c r="H81" s="1542" t="str">
        <f t="shared" si="5"/>
        <v xml:space="preserve">Plátano fruta </v>
      </c>
    </row>
    <row r="82" spans="1:8" s="402" customFormat="1" ht="16.5" thickBot="1" x14ac:dyDescent="0.3">
      <c r="A82" s="1921" t="s">
        <v>20</v>
      </c>
      <c r="B82" s="1922"/>
      <c r="C82" s="1922"/>
      <c r="D82" s="1922"/>
      <c r="E82" s="1922"/>
      <c r="F82" s="768"/>
      <c r="G82" s="1248"/>
      <c r="H82" s="1542" t="str">
        <f t="shared" si="5"/>
        <v xml:space="preserve">Plátano fruta </v>
      </c>
    </row>
    <row r="83" spans="1:8" s="402" customFormat="1" ht="24" customHeight="1" x14ac:dyDescent="0.2">
      <c r="A83" s="1877" t="s">
        <v>1974</v>
      </c>
      <c r="B83" s="1877" t="s">
        <v>1969</v>
      </c>
      <c r="C83" s="1896" t="s">
        <v>1970</v>
      </c>
      <c r="D83" s="1879" t="s">
        <v>1971</v>
      </c>
      <c r="E83" s="1881" t="s">
        <v>1972</v>
      </c>
      <c r="F83" s="1892" t="s">
        <v>1973</v>
      </c>
      <c r="G83" s="1894">
        <v>9.09</v>
      </c>
      <c r="H83" s="1542" t="str">
        <f t="shared" si="5"/>
        <v xml:space="preserve">Plátano fruta </v>
      </c>
    </row>
    <row r="84" spans="1:8" s="402" customFormat="1" ht="16.5" customHeight="1" thickBot="1" x14ac:dyDescent="0.25">
      <c r="A84" s="1878"/>
      <c r="B84" s="1882"/>
      <c r="C84" s="1880"/>
      <c r="D84" s="1880"/>
      <c r="E84" s="1880"/>
      <c r="F84" s="1893"/>
      <c r="G84" s="1895"/>
      <c r="H84" s="1542" t="str">
        <f t="shared" si="5"/>
        <v xml:space="preserve">Plátano fruta </v>
      </c>
    </row>
    <row r="85" spans="1:8" s="410" customFormat="1" x14ac:dyDescent="0.2">
      <c r="A85" s="407">
        <v>1</v>
      </c>
      <c r="B85" s="408">
        <v>2</v>
      </c>
      <c r="C85" s="409">
        <v>3</v>
      </c>
      <c r="D85" s="408">
        <v>4</v>
      </c>
      <c r="E85" s="409">
        <v>5</v>
      </c>
      <c r="F85" s="764">
        <v>6</v>
      </c>
      <c r="G85" s="1254">
        <v>7</v>
      </c>
      <c r="H85" s="1542" t="str">
        <f t="shared" si="5"/>
        <v xml:space="preserve">Plátano fruta </v>
      </c>
    </row>
    <row r="86" spans="1:8" s="402" customFormat="1" x14ac:dyDescent="0.2">
      <c r="A86" s="411" t="s">
        <v>293</v>
      </c>
      <c r="B86" s="412"/>
      <c r="C86" s="413"/>
      <c r="D86" s="414">
        <v>400</v>
      </c>
      <c r="E86" s="414">
        <v>180</v>
      </c>
      <c r="F86" s="770">
        <f>D86*E86</f>
        <v>72000</v>
      </c>
      <c r="G86" s="1250">
        <f>F86*9.09%</f>
        <v>6544.7999999999993</v>
      </c>
      <c r="H86" s="1542" t="str">
        <f t="shared" si="5"/>
        <v xml:space="preserve">Plátano fruta </v>
      </c>
    </row>
    <row r="87" spans="1:8" s="402" customFormat="1" x14ac:dyDescent="0.2">
      <c r="A87" s="411"/>
      <c r="B87" s="412"/>
      <c r="C87" s="413"/>
      <c r="D87" s="414"/>
      <c r="E87" s="414"/>
      <c r="F87" s="770"/>
      <c r="G87" s="1250"/>
      <c r="H87" s="1542" t="str">
        <f t="shared" si="5"/>
        <v xml:space="preserve">Plátano fruta </v>
      </c>
    </row>
    <row r="88" spans="1:8" s="402" customFormat="1" x14ac:dyDescent="0.2">
      <c r="A88" s="411"/>
      <c r="B88" s="412"/>
      <c r="C88" s="413"/>
      <c r="D88" s="414"/>
      <c r="E88" s="414"/>
      <c r="F88" s="770"/>
      <c r="G88" s="1250"/>
      <c r="H88" s="1542" t="str">
        <f t="shared" si="5"/>
        <v xml:space="preserve">Plátano fruta </v>
      </c>
    </row>
    <row r="89" spans="1:8" s="402" customFormat="1" x14ac:dyDescent="0.2">
      <c r="A89" s="416" t="s">
        <v>219</v>
      </c>
      <c r="B89" s="417"/>
      <c r="C89" s="418"/>
      <c r="D89" s="419"/>
      <c r="E89" s="420"/>
      <c r="F89" s="771">
        <f>SUM(F86:F88)</f>
        <v>72000</v>
      </c>
      <c r="G89" s="1250">
        <f>SUM(G86:G88)</f>
        <v>6544.7999999999993</v>
      </c>
      <c r="H89" s="1542" t="str">
        <f t="shared" si="5"/>
        <v xml:space="preserve">Plátano fruta </v>
      </c>
    </row>
    <row r="90" spans="1:8" s="402" customFormat="1" ht="13.5" thickBot="1" x14ac:dyDescent="0.25">
      <c r="A90" s="1903"/>
      <c r="B90" s="1904"/>
      <c r="C90" s="1904"/>
      <c r="D90" s="1904"/>
      <c r="E90" s="1904"/>
      <c r="F90" s="775"/>
      <c r="G90" s="1255"/>
      <c r="H90" s="1542" t="str">
        <f t="shared" si="5"/>
        <v xml:space="preserve">Plátano fruta </v>
      </c>
    </row>
    <row r="91" spans="1:8" s="402" customFormat="1" x14ac:dyDescent="0.2">
      <c r="A91" s="1905" t="s">
        <v>232</v>
      </c>
      <c r="B91" s="1868"/>
      <c r="C91" s="1868"/>
      <c r="D91" s="1906" t="s">
        <v>628</v>
      </c>
      <c r="E91" s="1907"/>
      <c r="F91" s="1897" t="s">
        <v>244</v>
      </c>
      <c r="G91" s="1898"/>
      <c r="H91" s="1542" t="str">
        <f t="shared" si="5"/>
        <v xml:space="preserve">Plátano fruta </v>
      </c>
    </row>
    <row r="92" spans="1:8" s="402" customFormat="1" ht="13.5" thickBot="1" x14ac:dyDescent="0.25">
      <c r="A92" s="1899"/>
      <c r="B92" s="1900"/>
      <c r="C92" s="1900"/>
      <c r="D92" s="1908"/>
      <c r="E92" s="1909"/>
      <c r="F92" s="1901">
        <f ca="1">TODAY()</f>
        <v>45398</v>
      </c>
      <c r="G92" s="1902"/>
      <c r="H92" s="1542" t="str">
        <f t="shared" si="5"/>
        <v xml:space="preserve">Plátano fruta </v>
      </c>
    </row>
    <row r="93" spans="1:8" s="402" customFormat="1" x14ac:dyDescent="0.2">
      <c r="A93" s="1867" t="s">
        <v>243</v>
      </c>
      <c r="B93" s="1868"/>
      <c r="C93" s="1868"/>
      <c r="D93" s="1869" t="s">
        <v>629</v>
      </c>
      <c r="E93" s="1870"/>
      <c r="F93" s="776"/>
      <c r="G93" s="1246"/>
      <c r="H93" s="1542" t="str">
        <f t="shared" si="5"/>
        <v xml:space="preserve">Plátano fruta </v>
      </c>
    </row>
    <row r="94" spans="1:8" s="402" customFormat="1" ht="13.5" thickBot="1" x14ac:dyDescent="0.25">
      <c r="A94" s="1873" t="s">
        <v>1880</v>
      </c>
      <c r="B94" s="1874"/>
      <c r="C94" s="1874"/>
      <c r="D94" s="1871"/>
      <c r="E94" s="1872"/>
      <c r="F94" s="777"/>
      <c r="G94" s="1248"/>
      <c r="H94" s="1542" t="str">
        <f t="shared" si="5"/>
        <v xml:space="preserve">Plátano fruta </v>
      </c>
    </row>
    <row r="95" spans="1:8" s="402" customFormat="1" ht="18.75" customHeight="1" x14ac:dyDescent="0.25">
      <c r="A95" s="1875" t="s">
        <v>2093</v>
      </c>
      <c r="B95" s="1876"/>
      <c r="C95" s="1876"/>
      <c r="D95" s="1876"/>
      <c r="E95" s="1876"/>
      <c r="F95" s="766"/>
      <c r="G95" s="1246"/>
      <c r="H95" s="1542" t="str">
        <f>A$97</f>
        <v>Boniato</v>
      </c>
    </row>
    <row r="96" spans="1:8" s="402" customFormat="1" ht="15.75" x14ac:dyDescent="0.25">
      <c r="A96" s="1917" t="s">
        <v>233</v>
      </c>
      <c r="B96" s="1918"/>
      <c r="C96" s="1918"/>
      <c r="D96" s="1918"/>
      <c r="E96" s="1918"/>
      <c r="F96" s="767"/>
      <c r="G96" s="1247"/>
      <c r="H96" s="1542" t="str">
        <f t="shared" ref="H96:H109" si="6">A$97</f>
        <v>Boniato</v>
      </c>
    </row>
    <row r="97" spans="1:8" s="402" customFormat="1" ht="18.75" thickBot="1" x14ac:dyDescent="0.3">
      <c r="A97" s="1919" t="s">
        <v>297</v>
      </c>
      <c r="B97" s="1920"/>
      <c r="C97" s="1920"/>
      <c r="D97" s="1920"/>
      <c r="E97" s="1920"/>
      <c r="F97" s="768"/>
      <c r="G97" s="1248"/>
      <c r="H97" s="1542" t="str">
        <f t="shared" si="6"/>
        <v>Boniato</v>
      </c>
    </row>
    <row r="98" spans="1:8" s="402" customFormat="1" ht="24" customHeight="1" x14ac:dyDescent="0.2">
      <c r="A98" s="1877" t="s">
        <v>1974</v>
      </c>
      <c r="B98" s="1877" t="s">
        <v>1969</v>
      </c>
      <c r="C98" s="1896" t="s">
        <v>1970</v>
      </c>
      <c r="D98" s="1879" t="s">
        <v>1971</v>
      </c>
      <c r="E98" s="1881" t="s">
        <v>1972</v>
      </c>
      <c r="F98" s="1892" t="s">
        <v>1973</v>
      </c>
      <c r="G98" s="1894">
        <v>9.09</v>
      </c>
      <c r="H98" s="1542" t="str">
        <f t="shared" si="6"/>
        <v>Boniato</v>
      </c>
    </row>
    <row r="99" spans="1:8" s="402" customFormat="1" ht="24" customHeight="1" thickBot="1" x14ac:dyDescent="0.25">
      <c r="A99" s="1878"/>
      <c r="B99" s="1882"/>
      <c r="C99" s="1880"/>
      <c r="D99" s="1880"/>
      <c r="E99" s="1880"/>
      <c r="F99" s="1893"/>
      <c r="G99" s="1895"/>
      <c r="H99" s="1542" t="str">
        <f t="shared" si="6"/>
        <v>Boniato</v>
      </c>
    </row>
    <row r="100" spans="1:8" s="425" customFormat="1" x14ac:dyDescent="0.2">
      <c r="A100" s="422">
        <v>1</v>
      </c>
      <c r="B100" s="423">
        <v>2</v>
      </c>
      <c r="C100" s="424">
        <v>3</v>
      </c>
      <c r="D100" s="423">
        <v>4</v>
      </c>
      <c r="E100" s="424">
        <v>5</v>
      </c>
      <c r="F100" s="769">
        <v>6</v>
      </c>
      <c r="G100" s="1249">
        <v>7</v>
      </c>
      <c r="H100" s="1542" t="str">
        <f t="shared" si="6"/>
        <v>Boniato</v>
      </c>
    </row>
    <row r="101" spans="1:8" s="402" customFormat="1" x14ac:dyDescent="0.2">
      <c r="A101" s="411" t="s">
        <v>293</v>
      </c>
      <c r="B101" s="412" t="s">
        <v>294</v>
      </c>
      <c r="C101" s="413"/>
      <c r="D101" s="414">
        <v>400</v>
      </c>
      <c r="E101" s="414">
        <v>180</v>
      </c>
      <c r="F101" s="770">
        <f>D101*E101</f>
        <v>72000</v>
      </c>
      <c r="G101" s="1250">
        <f>F101*9.09%</f>
        <v>6544.7999999999993</v>
      </c>
      <c r="H101" s="1542" t="str">
        <f t="shared" si="6"/>
        <v>Boniato</v>
      </c>
    </row>
    <row r="102" spans="1:8" s="402" customFormat="1" x14ac:dyDescent="0.2">
      <c r="A102" s="411"/>
      <c r="B102" s="412"/>
      <c r="C102" s="413"/>
      <c r="D102" s="414"/>
      <c r="E102" s="414"/>
      <c r="F102" s="770"/>
      <c r="G102" s="1250"/>
      <c r="H102" s="1542" t="str">
        <f t="shared" si="6"/>
        <v>Boniato</v>
      </c>
    </row>
    <row r="103" spans="1:8" s="402" customFormat="1" x14ac:dyDescent="0.2">
      <c r="A103" s="411"/>
      <c r="B103" s="412"/>
      <c r="C103" s="413"/>
      <c r="D103" s="414"/>
      <c r="E103" s="414"/>
      <c r="F103" s="770"/>
      <c r="G103" s="1250"/>
      <c r="H103" s="1542" t="str">
        <f t="shared" si="6"/>
        <v>Boniato</v>
      </c>
    </row>
    <row r="104" spans="1:8" s="402" customFormat="1" x14ac:dyDescent="0.2">
      <c r="A104" s="416" t="s">
        <v>219</v>
      </c>
      <c r="B104" s="417"/>
      <c r="C104" s="418"/>
      <c r="D104" s="419"/>
      <c r="E104" s="420"/>
      <c r="F104" s="771">
        <f>SUM(F101:F103)</f>
        <v>72000</v>
      </c>
      <c r="G104" s="1250">
        <f>SUM(G101:G103)</f>
        <v>6544.7999999999993</v>
      </c>
      <c r="H104" s="1542" t="str">
        <f t="shared" si="6"/>
        <v>Boniato</v>
      </c>
    </row>
    <row r="105" spans="1:8" s="402" customFormat="1" x14ac:dyDescent="0.2">
      <c r="A105" s="1915"/>
      <c r="B105" s="1916"/>
      <c r="C105" s="1916"/>
      <c r="D105" s="1916"/>
      <c r="E105" s="1916"/>
      <c r="F105" s="770"/>
      <c r="G105" s="1251"/>
      <c r="H105" s="1542" t="str">
        <f t="shared" si="6"/>
        <v>Boniato</v>
      </c>
    </row>
    <row r="106" spans="1:8" s="402" customFormat="1" x14ac:dyDescent="0.2">
      <c r="A106" s="1886" t="s">
        <v>232</v>
      </c>
      <c r="B106" s="1887"/>
      <c r="C106" s="1888"/>
      <c r="D106" s="430"/>
      <c r="E106" s="415"/>
      <c r="F106" s="772" t="s">
        <v>244</v>
      </c>
      <c r="G106" s="1251"/>
      <c r="H106" s="1542" t="str">
        <f t="shared" si="6"/>
        <v>Boniato</v>
      </c>
    </row>
    <row r="107" spans="1:8" s="402" customFormat="1" x14ac:dyDescent="0.2">
      <c r="A107" s="1889"/>
      <c r="B107" s="1890"/>
      <c r="C107" s="1891"/>
      <c r="D107" s="430"/>
      <c r="E107" s="415"/>
      <c r="F107" s="1910">
        <f ca="1">TODAY()</f>
        <v>45398</v>
      </c>
      <c r="G107" s="1911"/>
      <c r="H107" s="1542" t="str">
        <f t="shared" si="6"/>
        <v>Boniato</v>
      </c>
    </row>
    <row r="108" spans="1:8" s="402" customFormat="1" x14ac:dyDescent="0.2">
      <c r="A108" s="1912" t="s">
        <v>243</v>
      </c>
      <c r="B108" s="1913"/>
      <c r="C108" s="1914"/>
      <c r="D108" s="430"/>
      <c r="E108" s="415"/>
      <c r="F108" s="773"/>
      <c r="G108" s="1251"/>
      <c r="H108" s="1542" t="str">
        <f t="shared" si="6"/>
        <v>Boniato</v>
      </c>
    </row>
    <row r="109" spans="1:8" s="402" customFormat="1" ht="13.5" thickBot="1" x14ac:dyDescent="0.25">
      <c r="A109" s="1883"/>
      <c r="B109" s="1884"/>
      <c r="C109" s="1885"/>
      <c r="D109" s="431"/>
      <c r="E109" s="432"/>
      <c r="F109" s="774"/>
      <c r="G109" s="1252"/>
      <c r="H109" s="1542" t="str">
        <f t="shared" si="6"/>
        <v>Boniato</v>
      </c>
    </row>
  </sheetData>
  <autoFilter ref="A7:Q109"/>
  <mergeCells count="112">
    <mergeCell ref="A12:E12"/>
    <mergeCell ref="F5:F6"/>
    <mergeCell ref="G5:G6"/>
    <mergeCell ref="A2:E2"/>
    <mergeCell ref="A3:E3"/>
    <mergeCell ref="A5:A6"/>
    <mergeCell ref="C5:C6"/>
    <mergeCell ref="D5:D6"/>
    <mergeCell ref="E5:E6"/>
    <mergeCell ref="B5:B6"/>
    <mergeCell ref="A16:C16"/>
    <mergeCell ref="A13:C13"/>
    <mergeCell ref="A14:C14"/>
    <mergeCell ref="F14:G14"/>
    <mergeCell ref="A15:C15"/>
    <mergeCell ref="A28:C28"/>
    <mergeCell ref="A17:E17"/>
    <mergeCell ref="A18:E18"/>
    <mergeCell ref="A27:E27"/>
    <mergeCell ref="F20:F21"/>
    <mergeCell ref="G20:G21"/>
    <mergeCell ref="A20:A21"/>
    <mergeCell ref="C20:C21"/>
    <mergeCell ref="D20:D21"/>
    <mergeCell ref="E20:E21"/>
    <mergeCell ref="B20:B21"/>
    <mergeCell ref="F29:G29"/>
    <mergeCell ref="A42:E42"/>
    <mergeCell ref="F35:F36"/>
    <mergeCell ref="G35:G36"/>
    <mergeCell ref="A35:A36"/>
    <mergeCell ref="C35:C36"/>
    <mergeCell ref="A29:C29"/>
    <mergeCell ref="A31:C31"/>
    <mergeCell ref="A30:C30"/>
    <mergeCell ref="A47:E47"/>
    <mergeCell ref="A46:C46"/>
    <mergeCell ref="F44:G44"/>
    <mergeCell ref="A45:C45"/>
    <mergeCell ref="A43:C43"/>
    <mergeCell ref="A44:C44"/>
    <mergeCell ref="A32:E32"/>
    <mergeCell ref="A33:E33"/>
    <mergeCell ref="A58:E58"/>
    <mergeCell ref="F51:F52"/>
    <mergeCell ref="G51:G52"/>
    <mergeCell ref="A48:E48"/>
    <mergeCell ref="A50:E50"/>
    <mergeCell ref="A51:A52"/>
    <mergeCell ref="C51:C52"/>
    <mergeCell ref="D51:D52"/>
    <mergeCell ref="E51:E52"/>
    <mergeCell ref="B35:B36"/>
    <mergeCell ref="B51:B52"/>
    <mergeCell ref="D35:D36"/>
    <mergeCell ref="E35:E36"/>
    <mergeCell ref="A82:E82"/>
    <mergeCell ref="A59:C59"/>
    <mergeCell ref="A60:C60"/>
    <mergeCell ref="F60:G60"/>
    <mergeCell ref="A61:C61"/>
    <mergeCell ref="A62:C62"/>
    <mergeCell ref="A66:E66"/>
    <mergeCell ref="F76:G76"/>
    <mergeCell ref="A77:C77"/>
    <mergeCell ref="A75:C75"/>
    <mergeCell ref="A76:C76"/>
    <mergeCell ref="A67:A68"/>
    <mergeCell ref="C67:C68"/>
    <mergeCell ref="A63:E63"/>
    <mergeCell ref="A64:E64"/>
    <mergeCell ref="D67:D68"/>
    <mergeCell ref="E67:E68"/>
    <mergeCell ref="A74:E74"/>
    <mergeCell ref="F67:F68"/>
    <mergeCell ref="G67:G68"/>
    <mergeCell ref="A78:C78"/>
    <mergeCell ref="A79:E79"/>
    <mergeCell ref="A80:E80"/>
    <mergeCell ref="B67:B68"/>
    <mergeCell ref="F107:G107"/>
    <mergeCell ref="A108:C108"/>
    <mergeCell ref="A105:E105"/>
    <mergeCell ref="F98:F99"/>
    <mergeCell ref="G98:G99"/>
    <mergeCell ref="A96:E96"/>
    <mergeCell ref="A97:E97"/>
    <mergeCell ref="A98:A99"/>
    <mergeCell ref="C98:C99"/>
    <mergeCell ref="D98:D99"/>
    <mergeCell ref="B98:B99"/>
    <mergeCell ref="F83:F84"/>
    <mergeCell ref="G83:G84"/>
    <mergeCell ref="C83:C84"/>
    <mergeCell ref="F91:G91"/>
    <mergeCell ref="A92:C92"/>
    <mergeCell ref="F92:G92"/>
    <mergeCell ref="A90:E90"/>
    <mergeCell ref="A91:C91"/>
    <mergeCell ref="D91:E92"/>
    <mergeCell ref="A93:C93"/>
    <mergeCell ref="D93:E94"/>
    <mergeCell ref="A94:C94"/>
    <mergeCell ref="A95:E95"/>
    <mergeCell ref="A83:A84"/>
    <mergeCell ref="D83:D84"/>
    <mergeCell ref="E83:E84"/>
    <mergeCell ref="B83:B84"/>
    <mergeCell ref="A109:C109"/>
    <mergeCell ref="A106:C106"/>
    <mergeCell ref="A107:C107"/>
    <mergeCell ref="E98:E99"/>
  </mergeCells>
  <phoneticPr fontId="7" type="noConversion"/>
  <pageMargins left="0.78740157480314965" right="0.19685039370078741" top="0.98425196850393704" bottom="0.19685039370078741" header="0" footer="0"/>
  <pageSetup orientation="portrait" horizontalDpi="180" verticalDpi="180" r:id="rId1"/>
  <headerFooter alignWithMargins="0"/>
  <rowBreaks count="6" manualBreakCount="6">
    <brk id="16" max="9" man="1"/>
    <brk id="31" max="9" man="1"/>
    <brk id="46" max="9" man="1"/>
    <brk id="62" max="9" man="1"/>
    <brk id="78" max="9" man="1"/>
    <brk id="94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F12" sqref="F12"/>
    </sheetView>
  </sheetViews>
  <sheetFormatPr baseColWidth="10" defaultRowHeight="12.75" x14ac:dyDescent="0.2"/>
  <cols>
    <col min="1" max="1" width="28.28515625" customWidth="1"/>
    <col min="4" max="4" width="12.28515625" style="1575" customWidth="1"/>
  </cols>
  <sheetData>
    <row r="1" spans="1:4" ht="32.25" thickBot="1" x14ac:dyDescent="0.25">
      <c r="A1" s="1566" t="s">
        <v>1999</v>
      </c>
      <c r="B1" s="1567" t="s">
        <v>2000</v>
      </c>
      <c r="C1" s="1568" t="s">
        <v>2001</v>
      </c>
    </row>
    <row r="2" spans="1:4" ht="15.75" x14ac:dyDescent="0.25">
      <c r="A2" s="1937" t="s">
        <v>2002</v>
      </c>
      <c r="B2" s="1938"/>
      <c r="C2" s="1939"/>
    </row>
    <row r="3" spans="1:4" ht="15.75" x14ac:dyDescent="0.25">
      <c r="A3" s="1569" t="s">
        <v>1987</v>
      </c>
      <c r="B3" s="1570"/>
      <c r="C3" s="1571"/>
      <c r="D3" s="1576" t="str">
        <f>A$3</f>
        <v>Platano</v>
      </c>
    </row>
    <row r="4" spans="1:4" ht="15.75" x14ac:dyDescent="0.25">
      <c r="A4" s="1572" t="s">
        <v>833</v>
      </c>
      <c r="B4" s="1573">
        <v>0.75</v>
      </c>
      <c r="C4" s="1574" t="s">
        <v>278</v>
      </c>
      <c r="D4" s="1576" t="str">
        <f>A$3</f>
        <v>Platano</v>
      </c>
    </row>
    <row r="5" spans="1:4" ht="15.75" x14ac:dyDescent="0.25">
      <c r="A5" s="1572" t="s">
        <v>2003</v>
      </c>
      <c r="B5" s="1573">
        <v>0.34</v>
      </c>
      <c r="C5" s="1574" t="s">
        <v>278</v>
      </c>
      <c r="D5" s="1576" t="str">
        <f>A$3</f>
        <v>Platano</v>
      </c>
    </row>
    <row r="6" spans="1:4" ht="15.75" x14ac:dyDescent="0.25">
      <c r="A6" s="1572" t="s">
        <v>284</v>
      </c>
      <c r="B6" s="1573">
        <v>0.3</v>
      </c>
      <c r="C6" s="1574" t="s">
        <v>278</v>
      </c>
      <c r="D6" s="1576" t="str">
        <f>A$3</f>
        <v>Platano</v>
      </c>
    </row>
    <row r="7" spans="1:4" ht="15.75" x14ac:dyDescent="0.25">
      <c r="A7" s="1934" t="s">
        <v>1986</v>
      </c>
      <c r="B7" s="1935"/>
      <c r="C7" s="1936"/>
    </row>
    <row r="8" spans="1:4" ht="15.75" x14ac:dyDescent="0.25">
      <c r="A8" s="1572" t="s">
        <v>853</v>
      </c>
      <c r="B8" s="1573">
        <v>1.49</v>
      </c>
      <c r="C8" s="1574" t="s">
        <v>278</v>
      </c>
      <c r="D8" s="1576" t="str">
        <f>A$7</f>
        <v>Papa</v>
      </c>
    </row>
    <row r="9" spans="1:4" ht="15.75" x14ac:dyDescent="0.25">
      <c r="A9" s="1572" t="s">
        <v>284</v>
      </c>
      <c r="B9" s="1573">
        <v>0.22</v>
      </c>
      <c r="C9" s="1574" t="s">
        <v>278</v>
      </c>
      <c r="D9" s="1576" t="str">
        <f>A$7</f>
        <v>Papa</v>
      </c>
    </row>
    <row r="10" spans="1:4" ht="15.75" x14ac:dyDescent="0.25">
      <c r="A10" s="1934" t="s">
        <v>297</v>
      </c>
      <c r="B10" s="1935"/>
      <c r="C10" s="1936"/>
      <c r="D10" s="1576"/>
    </row>
    <row r="11" spans="1:4" ht="15.75" x14ac:dyDescent="0.25">
      <c r="A11" s="1572" t="s">
        <v>853</v>
      </c>
      <c r="B11" s="1573">
        <v>0.37</v>
      </c>
      <c r="C11" s="1574" t="s">
        <v>278</v>
      </c>
      <c r="D11" s="1576" t="s">
        <v>297</v>
      </c>
    </row>
    <row r="12" spans="1:4" ht="15.75" x14ac:dyDescent="0.25">
      <c r="A12" s="1572" t="s">
        <v>2003</v>
      </c>
      <c r="B12" s="1573"/>
      <c r="C12" s="1574"/>
      <c r="D12" s="1576" t="s">
        <v>297</v>
      </c>
    </row>
    <row r="13" spans="1:4" ht="15.75" x14ac:dyDescent="0.25">
      <c r="A13" s="1934" t="s">
        <v>1924</v>
      </c>
      <c r="B13" s="1935"/>
      <c r="C13" s="1936"/>
    </row>
    <row r="14" spans="1:4" ht="15.75" x14ac:dyDescent="0.25">
      <c r="A14" s="1572" t="s">
        <v>853</v>
      </c>
      <c r="B14" s="1573">
        <v>0.75</v>
      </c>
      <c r="C14" s="1574"/>
      <c r="D14" s="1576" t="str">
        <f>A$13</f>
        <v>Malanga</v>
      </c>
    </row>
    <row r="15" spans="1:4" ht="15.75" x14ac:dyDescent="0.25">
      <c r="A15" s="1572" t="s">
        <v>2003</v>
      </c>
      <c r="B15" s="1573">
        <v>0.3</v>
      </c>
      <c r="C15" s="1574"/>
      <c r="D15" s="1576" t="str">
        <f>A$13</f>
        <v>Malanga</v>
      </c>
    </row>
    <row r="16" spans="1:4" ht="15.75" x14ac:dyDescent="0.25">
      <c r="A16" s="1934" t="s">
        <v>316</v>
      </c>
      <c r="B16" s="1935"/>
      <c r="C16" s="1936"/>
    </row>
    <row r="17" spans="1:4" ht="15.75" x14ac:dyDescent="0.25">
      <c r="A17" s="1572" t="s">
        <v>853</v>
      </c>
      <c r="B17" s="1573">
        <v>0.37</v>
      </c>
      <c r="C17" s="1574" t="s">
        <v>278</v>
      </c>
      <c r="D17" s="1576" t="str">
        <f>A$16</f>
        <v>Yuca</v>
      </c>
    </row>
    <row r="18" spans="1:4" ht="15.75" x14ac:dyDescent="0.25">
      <c r="A18" s="1572" t="s">
        <v>2003</v>
      </c>
      <c r="B18" s="1573"/>
      <c r="C18" s="1574"/>
      <c r="D18" s="1576" t="str">
        <f>A$16</f>
        <v>Yuca</v>
      </c>
    </row>
    <row r="19" spans="1:4" ht="15.75" x14ac:dyDescent="0.25">
      <c r="A19" s="1934" t="s">
        <v>2004</v>
      </c>
      <c r="B19" s="1935"/>
      <c r="C19" s="1936"/>
    </row>
    <row r="20" spans="1:4" ht="15.75" x14ac:dyDescent="0.25">
      <c r="A20" s="1572" t="s">
        <v>853</v>
      </c>
      <c r="B20" s="1573">
        <v>0.37</v>
      </c>
      <c r="C20" s="1574" t="s">
        <v>278</v>
      </c>
      <c r="D20" s="1576" t="str">
        <f>A$19</f>
        <v>Ñame</v>
      </c>
    </row>
    <row r="21" spans="1:4" ht="15.75" x14ac:dyDescent="0.25">
      <c r="A21" s="1572" t="s">
        <v>2003</v>
      </c>
      <c r="B21" s="1573"/>
      <c r="C21" s="1574"/>
      <c r="D21" s="1576" t="str">
        <f>A$19</f>
        <v>Ñame</v>
      </c>
    </row>
  </sheetData>
  <autoFilter ref="A1:C1"/>
  <mergeCells count="6">
    <mergeCell ref="A19:C19"/>
    <mergeCell ref="A2:C2"/>
    <mergeCell ref="A7:C7"/>
    <mergeCell ref="A10:C10"/>
    <mergeCell ref="A13:C13"/>
    <mergeCell ref="A16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showGridLines="0" topLeftCell="A4" workbookViewId="0">
      <selection activeCell="H14" sqref="H14"/>
    </sheetView>
  </sheetViews>
  <sheetFormatPr baseColWidth="10" defaultRowHeight="12.75" x14ac:dyDescent="0.2"/>
  <cols>
    <col min="1" max="1" width="14.140625" customWidth="1"/>
  </cols>
  <sheetData>
    <row r="2" spans="1:12" ht="15" thickBot="1" x14ac:dyDescent="0.25">
      <c r="A2" s="1549"/>
      <c r="B2" s="1549"/>
      <c r="C2" s="1549"/>
      <c r="D2" s="1549"/>
      <c r="E2" s="1549"/>
      <c r="F2" s="1549"/>
      <c r="G2" s="1549"/>
      <c r="H2" s="1549"/>
      <c r="I2" s="1549"/>
      <c r="J2" s="1549"/>
      <c r="K2" s="1549"/>
      <c r="L2" s="1549"/>
    </row>
    <row r="3" spans="1:12" ht="15.75" thickBot="1" x14ac:dyDescent="0.3">
      <c r="A3" s="1949" t="s">
        <v>1978</v>
      </c>
      <c r="B3" s="1950"/>
      <c r="C3" s="1950"/>
      <c r="D3" s="1950"/>
      <c r="E3" s="1950"/>
      <c r="F3" s="1950"/>
      <c r="G3" s="1950"/>
      <c r="H3" s="1950"/>
      <c r="I3" s="1950"/>
      <c r="J3" s="1950"/>
      <c r="K3" s="1950"/>
      <c r="L3" s="1951"/>
    </row>
    <row r="4" spans="1:12" ht="15" x14ac:dyDescent="0.25">
      <c r="A4" s="1550"/>
      <c r="B4" s="1550"/>
      <c r="C4" s="1550"/>
      <c r="D4" s="1550"/>
      <c r="E4" s="1550"/>
      <c r="F4" s="1550"/>
      <c r="G4" s="1550"/>
      <c r="H4" s="1550"/>
      <c r="I4" s="1550"/>
      <c r="J4" s="1550"/>
      <c r="K4" s="1551"/>
      <c r="L4" s="1551"/>
    </row>
    <row r="5" spans="1:12" ht="15.75" thickBot="1" x14ac:dyDescent="0.3">
      <c r="A5" s="1952" t="s">
        <v>1979</v>
      </c>
      <c r="B5" s="1952"/>
      <c r="C5" s="1952"/>
      <c r="D5" s="1952"/>
      <c r="E5" s="1952"/>
      <c r="F5" s="1952"/>
      <c r="G5" s="1952"/>
      <c r="H5" s="1552"/>
      <c r="I5" s="1552"/>
      <c r="J5" s="1552"/>
      <c r="K5" s="1553"/>
      <c r="L5" s="1553"/>
    </row>
    <row r="6" spans="1:12" ht="15" x14ac:dyDescent="0.25">
      <c r="A6" s="1554"/>
      <c r="B6" s="1953">
        <v>2020</v>
      </c>
      <c r="C6" s="1953"/>
      <c r="D6" s="1953"/>
      <c r="E6" s="1953" t="s">
        <v>1980</v>
      </c>
      <c r="F6" s="1953"/>
      <c r="G6" s="1953"/>
      <c r="H6" s="1953" t="s">
        <v>1981</v>
      </c>
      <c r="I6" s="1953"/>
      <c r="J6" s="1953"/>
      <c r="K6" s="1954" t="s">
        <v>1982</v>
      </c>
      <c r="L6" s="1955"/>
    </row>
    <row r="7" spans="1:12" ht="15" x14ac:dyDescent="0.25">
      <c r="A7" s="1555" t="s">
        <v>367</v>
      </c>
      <c r="B7" s="1556" t="s">
        <v>1983</v>
      </c>
      <c r="C7" s="1556" t="s">
        <v>1984</v>
      </c>
      <c r="D7" s="1557" t="s">
        <v>1985</v>
      </c>
      <c r="E7" s="1557" t="s">
        <v>1983</v>
      </c>
      <c r="F7" s="1557" t="s">
        <v>1984</v>
      </c>
      <c r="G7" s="1557" t="s">
        <v>1985</v>
      </c>
      <c r="H7" s="1557" t="s">
        <v>1983</v>
      </c>
      <c r="I7" s="1557" t="s">
        <v>1984</v>
      </c>
      <c r="J7" s="1557" t="s">
        <v>1985</v>
      </c>
      <c r="K7" s="1557"/>
      <c r="L7" s="1558"/>
    </row>
    <row r="8" spans="1:12" ht="15" x14ac:dyDescent="0.25">
      <c r="A8" s="1555" t="s">
        <v>1986</v>
      </c>
      <c r="B8" s="1557">
        <v>5280</v>
      </c>
      <c r="C8" s="1557">
        <v>0.16</v>
      </c>
      <c r="D8" s="1557">
        <f t="shared" ref="D8:D14" si="0">C8*B8</f>
        <v>844.80000000000007</v>
      </c>
      <c r="E8" s="1557">
        <v>5280</v>
      </c>
      <c r="F8" s="1557">
        <v>2.52</v>
      </c>
      <c r="G8" s="1557">
        <f t="shared" ref="G8:G14" si="1">F8*E8</f>
        <v>13305.6</v>
      </c>
      <c r="H8" s="1557">
        <v>5280</v>
      </c>
      <c r="I8" s="1557">
        <v>2.08</v>
      </c>
      <c r="J8" s="1557">
        <f t="shared" ref="J8:J14" si="2">I8*H8</f>
        <v>10982.4</v>
      </c>
      <c r="K8" s="1940">
        <f t="shared" ref="K8:K14" si="3">J8-G8</f>
        <v>-2323.2000000000007</v>
      </c>
      <c r="L8" s="1941"/>
    </row>
    <row r="9" spans="1:12" ht="15" x14ac:dyDescent="0.25">
      <c r="A9" s="1555" t="s">
        <v>1987</v>
      </c>
      <c r="B9" s="1557">
        <v>16800</v>
      </c>
      <c r="C9" s="1557">
        <v>0.16</v>
      </c>
      <c r="D9" s="1557">
        <f t="shared" si="0"/>
        <v>2688</v>
      </c>
      <c r="E9" s="1557">
        <v>16800</v>
      </c>
      <c r="F9" s="1557">
        <v>2.52</v>
      </c>
      <c r="G9" s="1557">
        <f t="shared" si="1"/>
        <v>42336</v>
      </c>
      <c r="H9" s="1557">
        <v>5280</v>
      </c>
      <c r="I9" s="1557">
        <v>2.08</v>
      </c>
      <c r="J9" s="1557">
        <f t="shared" si="2"/>
        <v>10982.4</v>
      </c>
      <c r="K9" s="1940">
        <f t="shared" si="3"/>
        <v>-31353.599999999999</v>
      </c>
      <c r="L9" s="1941"/>
    </row>
    <row r="10" spans="1:12" ht="15" x14ac:dyDescent="0.25">
      <c r="A10" s="1555" t="s">
        <v>1924</v>
      </c>
      <c r="B10" s="1557">
        <v>26400</v>
      </c>
      <c r="C10" s="1557">
        <v>0.16</v>
      </c>
      <c r="D10" s="1557">
        <f t="shared" si="0"/>
        <v>4224</v>
      </c>
      <c r="E10" s="1557">
        <v>26400</v>
      </c>
      <c r="F10" s="1557">
        <v>2.52</v>
      </c>
      <c r="G10" s="1557">
        <f t="shared" si="1"/>
        <v>66528</v>
      </c>
      <c r="H10" s="1557">
        <v>26400</v>
      </c>
      <c r="I10" s="1557">
        <v>2.08</v>
      </c>
      <c r="J10" s="1557">
        <f t="shared" si="2"/>
        <v>54912</v>
      </c>
      <c r="K10" s="1940">
        <f t="shared" si="3"/>
        <v>-11616</v>
      </c>
      <c r="L10" s="1941"/>
    </row>
    <row r="11" spans="1:12" ht="15" x14ac:dyDescent="0.25">
      <c r="A11" s="1555" t="s">
        <v>1988</v>
      </c>
      <c r="B11" s="1557">
        <v>6940</v>
      </c>
      <c r="C11" s="1557">
        <v>0.16</v>
      </c>
      <c r="D11" s="1557">
        <f t="shared" si="0"/>
        <v>1110.4000000000001</v>
      </c>
      <c r="E11" s="1557">
        <v>6940</v>
      </c>
      <c r="F11" s="1557">
        <v>2.52</v>
      </c>
      <c r="G11" s="1557">
        <f t="shared" si="1"/>
        <v>17488.8</v>
      </c>
      <c r="H11" s="1557">
        <v>6940</v>
      </c>
      <c r="I11" s="1557">
        <v>2.08</v>
      </c>
      <c r="J11" s="1557">
        <f t="shared" si="2"/>
        <v>14435.2</v>
      </c>
      <c r="K11" s="1940">
        <f t="shared" si="3"/>
        <v>-3053.5999999999985</v>
      </c>
      <c r="L11" s="1941"/>
    </row>
    <row r="12" spans="1:12" ht="15" x14ac:dyDescent="0.25">
      <c r="A12" s="1555" t="s">
        <v>1989</v>
      </c>
      <c r="B12" s="1557">
        <v>3600</v>
      </c>
      <c r="C12" s="1557">
        <v>0.16</v>
      </c>
      <c r="D12" s="1557">
        <f t="shared" si="0"/>
        <v>576</v>
      </c>
      <c r="E12" s="1557">
        <v>3600</v>
      </c>
      <c r="F12" s="1557">
        <v>2.52</v>
      </c>
      <c r="G12" s="1557">
        <f t="shared" si="1"/>
        <v>9072</v>
      </c>
      <c r="H12" s="1557">
        <v>3600</v>
      </c>
      <c r="I12" s="1557">
        <v>2.08</v>
      </c>
      <c r="J12" s="1557">
        <f t="shared" si="2"/>
        <v>7488</v>
      </c>
      <c r="K12" s="1940">
        <f t="shared" si="3"/>
        <v>-1584</v>
      </c>
      <c r="L12" s="1941"/>
    </row>
    <row r="13" spans="1:12" ht="15" x14ac:dyDescent="0.25">
      <c r="A13" s="1555" t="s">
        <v>1990</v>
      </c>
      <c r="B13" s="1557">
        <v>3600</v>
      </c>
      <c r="C13" s="1557">
        <v>0.16</v>
      </c>
      <c r="D13" s="1557">
        <f t="shared" si="0"/>
        <v>576</v>
      </c>
      <c r="E13" s="1557">
        <v>3600</v>
      </c>
      <c r="F13" s="1557">
        <v>2.52</v>
      </c>
      <c r="G13" s="1557">
        <f t="shared" si="1"/>
        <v>9072</v>
      </c>
      <c r="H13" s="1557">
        <v>3600</v>
      </c>
      <c r="I13" s="1557">
        <v>2.08</v>
      </c>
      <c r="J13" s="1557">
        <f t="shared" si="2"/>
        <v>7488</v>
      </c>
      <c r="K13" s="1940">
        <f t="shared" si="3"/>
        <v>-1584</v>
      </c>
      <c r="L13" s="1941"/>
    </row>
    <row r="14" spans="1:12" ht="15" x14ac:dyDescent="0.25">
      <c r="A14" s="1555" t="s">
        <v>297</v>
      </c>
      <c r="B14" s="1557">
        <v>5184</v>
      </c>
      <c r="C14" s="1557">
        <v>0.16</v>
      </c>
      <c r="D14" s="1557">
        <f t="shared" si="0"/>
        <v>829.44</v>
      </c>
      <c r="E14" s="1557">
        <v>5184</v>
      </c>
      <c r="F14" s="1557">
        <v>2.52</v>
      </c>
      <c r="G14" s="1557">
        <f t="shared" si="1"/>
        <v>13063.68</v>
      </c>
      <c r="H14" s="1557">
        <v>5184</v>
      </c>
      <c r="I14" s="1557">
        <v>2.08</v>
      </c>
      <c r="J14" s="1557">
        <f t="shared" si="2"/>
        <v>10782.720000000001</v>
      </c>
      <c r="K14" s="1940">
        <f t="shared" si="3"/>
        <v>-2280.9599999999991</v>
      </c>
      <c r="L14" s="1941"/>
    </row>
    <row r="15" spans="1:12" ht="15" thickBot="1" x14ac:dyDescent="0.25">
      <c r="A15" s="1559"/>
      <c r="B15" s="1560"/>
      <c r="C15" s="1560"/>
      <c r="D15" s="1560"/>
      <c r="E15" s="1560"/>
      <c r="F15" s="1560"/>
      <c r="G15" s="1560"/>
      <c r="H15" s="1560"/>
      <c r="I15" s="1560"/>
      <c r="J15" s="1560"/>
      <c r="K15" s="1560"/>
      <c r="L15" s="1561"/>
    </row>
    <row r="16" spans="1:12" ht="15.75" thickBot="1" x14ac:dyDescent="0.3">
      <c r="A16" s="1549"/>
      <c r="B16" s="1549"/>
      <c r="C16" s="1549"/>
      <c r="D16" s="1549"/>
      <c r="E16" s="1944" t="s">
        <v>1991</v>
      </c>
      <c r="F16" s="1945"/>
      <c r="G16" s="1946"/>
      <c r="H16" s="1944" t="s">
        <v>1992</v>
      </c>
      <c r="I16" s="1945"/>
      <c r="J16" s="1946"/>
      <c r="K16" s="1549"/>
      <c r="L16" s="1549"/>
    </row>
    <row r="19" spans="1:12" ht="15" x14ac:dyDescent="0.25">
      <c r="A19" s="1562"/>
      <c r="B19" s="1947">
        <v>2020</v>
      </c>
      <c r="C19" s="1947"/>
      <c r="D19" s="1947"/>
      <c r="E19" s="1947" t="s">
        <v>1980</v>
      </c>
      <c r="F19" s="1947"/>
      <c r="G19" s="1947"/>
      <c r="H19" s="1947" t="s">
        <v>1981</v>
      </c>
      <c r="I19" s="1947"/>
      <c r="J19" s="1947"/>
      <c r="K19" s="1556"/>
      <c r="L19" s="1558"/>
    </row>
    <row r="20" spans="1:12" ht="15" x14ac:dyDescent="0.25">
      <c r="A20" s="1563" t="s">
        <v>1483</v>
      </c>
      <c r="B20" s="1564" t="s">
        <v>1993</v>
      </c>
      <c r="C20" s="1564" t="s">
        <v>1984</v>
      </c>
      <c r="D20" s="1564" t="s">
        <v>1994</v>
      </c>
      <c r="E20" s="1564" t="s">
        <v>1993</v>
      </c>
      <c r="F20" s="1564" t="s">
        <v>1984</v>
      </c>
      <c r="G20" s="1564" t="s">
        <v>1994</v>
      </c>
      <c r="H20" s="1564" t="s">
        <v>1993</v>
      </c>
      <c r="I20" s="1564" t="s">
        <v>1984</v>
      </c>
      <c r="J20" s="1564" t="s">
        <v>1994</v>
      </c>
      <c r="K20" s="1947" t="s">
        <v>1995</v>
      </c>
      <c r="L20" s="1948"/>
    </row>
    <row r="21" spans="1:12" ht="15" x14ac:dyDescent="0.25">
      <c r="A21" s="1555" t="s">
        <v>1986</v>
      </c>
      <c r="B21" s="1556">
        <v>5294</v>
      </c>
      <c r="C21" s="1556">
        <v>2.5</v>
      </c>
      <c r="D21" s="1556">
        <f>C21*B21</f>
        <v>13235</v>
      </c>
      <c r="E21" s="1556">
        <v>5294</v>
      </c>
      <c r="F21" s="1556">
        <v>18</v>
      </c>
      <c r="G21" s="1556">
        <f>F21*E21</f>
        <v>95292</v>
      </c>
      <c r="H21" s="1556">
        <v>5294</v>
      </c>
      <c r="I21" s="1556">
        <v>13</v>
      </c>
      <c r="J21" s="1556">
        <f>I21*H21</f>
        <v>68822</v>
      </c>
      <c r="K21" s="1940">
        <f>J21-G21</f>
        <v>-26470</v>
      </c>
      <c r="L21" s="1941"/>
    </row>
    <row r="22" spans="1:12" ht="15" x14ac:dyDescent="0.25">
      <c r="A22" s="1555" t="s">
        <v>1987</v>
      </c>
      <c r="B22" s="1556">
        <v>17000</v>
      </c>
      <c r="C22" s="1556">
        <v>2.5</v>
      </c>
      <c r="D22" s="1556">
        <f t="shared" ref="D22:D27" si="4">C22*B22</f>
        <v>42500</v>
      </c>
      <c r="E22" s="1556">
        <v>17000</v>
      </c>
      <c r="F22" s="1556">
        <v>18</v>
      </c>
      <c r="G22" s="1556">
        <f t="shared" ref="G22:G27" si="5">F22*E22</f>
        <v>306000</v>
      </c>
      <c r="H22" s="1556">
        <v>17000</v>
      </c>
      <c r="I22" s="1556">
        <v>13</v>
      </c>
      <c r="J22" s="1556">
        <f t="shared" ref="J22:J27" si="6">I22*H22</f>
        <v>221000</v>
      </c>
      <c r="K22" s="1940">
        <f t="shared" ref="K22:K27" si="7">J22-G22</f>
        <v>-85000</v>
      </c>
      <c r="L22" s="1941"/>
    </row>
    <row r="23" spans="1:12" ht="15" x14ac:dyDescent="0.25">
      <c r="A23" s="1555" t="s">
        <v>1924</v>
      </c>
      <c r="B23" s="1556">
        <v>26400</v>
      </c>
      <c r="C23" s="1556">
        <v>2.5</v>
      </c>
      <c r="D23" s="1556">
        <f t="shared" si="4"/>
        <v>66000</v>
      </c>
      <c r="E23" s="1556">
        <v>26400</v>
      </c>
      <c r="F23" s="1556">
        <v>18</v>
      </c>
      <c r="G23" s="1556">
        <f t="shared" si="5"/>
        <v>475200</v>
      </c>
      <c r="H23" s="1556">
        <v>26400</v>
      </c>
      <c r="I23" s="1556">
        <v>13</v>
      </c>
      <c r="J23" s="1556">
        <f t="shared" si="6"/>
        <v>343200</v>
      </c>
      <c r="K23" s="1940">
        <f t="shared" si="7"/>
        <v>-132000</v>
      </c>
      <c r="L23" s="1941"/>
    </row>
    <row r="24" spans="1:12" ht="15" x14ac:dyDescent="0.25">
      <c r="A24" s="1555" t="s">
        <v>1988</v>
      </c>
      <c r="B24" s="1556">
        <v>6941</v>
      </c>
      <c r="C24" s="1556">
        <v>2.5</v>
      </c>
      <c r="D24" s="1556">
        <f t="shared" si="4"/>
        <v>17352.5</v>
      </c>
      <c r="E24" s="1556">
        <v>6941</v>
      </c>
      <c r="F24" s="1556">
        <v>18</v>
      </c>
      <c r="G24" s="1556">
        <f t="shared" si="5"/>
        <v>124938</v>
      </c>
      <c r="H24" s="1556">
        <v>6941</v>
      </c>
      <c r="I24" s="1556">
        <v>13</v>
      </c>
      <c r="J24" s="1556">
        <f t="shared" si="6"/>
        <v>90233</v>
      </c>
      <c r="K24" s="1940">
        <f t="shared" si="7"/>
        <v>-34705</v>
      </c>
      <c r="L24" s="1941"/>
    </row>
    <row r="25" spans="1:12" ht="15" x14ac:dyDescent="0.25">
      <c r="A25" s="1555" t="s">
        <v>1996</v>
      </c>
      <c r="B25" s="1556">
        <v>3647</v>
      </c>
      <c r="C25" s="1556">
        <v>2.5</v>
      </c>
      <c r="D25" s="1556">
        <f t="shared" si="4"/>
        <v>9117.5</v>
      </c>
      <c r="E25" s="1556">
        <v>3647</v>
      </c>
      <c r="F25" s="1556">
        <v>18</v>
      </c>
      <c r="G25" s="1556">
        <f t="shared" si="5"/>
        <v>65646</v>
      </c>
      <c r="H25" s="1556">
        <v>3647</v>
      </c>
      <c r="I25" s="1556">
        <v>13</v>
      </c>
      <c r="J25" s="1556">
        <f t="shared" si="6"/>
        <v>47411</v>
      </c>
      <c r="K25" s="1940">
        <f t="shared" si="7"/>
        <v>-18235</v>
      </c>
      <c r="L25" s="1941"/>
    </row>
    <row r="26" spans="1:12" ht="15" x14ac:dyDescent="0.25">
      <c r="A26" s="1555" t="s">
        <v>1990</v>
      </c>
      <c r="B26" s="1556">
        <v>3600</v>
      </c>
      <c r="C26" s="1556">
        <v>2.5</v>
      </c>
      <c r="D26" s="1556">
        <f t="shared" si="4"/>
        <v>9000</v>
      </c>
      <c r="E26" s="1556">
        <v>3600</v>
      </c>
      <c r="F26" s="1556">
        <v>18</v>
      </c>
      <c r="G26" s="1556">
        <f t="shared" si="5"/>
        <v>64800</v>
      </c>
      <c r="H26" s="1556">
        <v>3600</v>
      </c>
      <c r="I26" s="1556">
        <v>13</v>
      </c>
      <c r="J26" s="1556">
        <f t="shared" si="6"/>
        <v>46800</v>
      </c>
      <c r="K26" s="1940">
        <f t="shared" si="7"/>
        <v>-18000</v>
      </c>
      <c r="L26" s="1941"/>
    </row>
    <row r="27" spans="1:12" ht="15.75" thickBot="1" x14ac:dyDescent="0.3">
      <c r="A27" s="1565" t="s">
        <v>297</v>
      </c>
      <c r="B27" s="1560">
        <v>5188</v>
      </c>
      <c r="C27" s="1560">
        <v>2.5</v>
      </c>
      <c r="D27" s="1560">
        <f t="shared" si="4"/>
        <v>12970</v>
      </c>
      <c r="E27" s="1560">
        <v>5188</v>
      </c>
      <c r="F27" s="1560">
        <v>18</v>
      </c>
      <c r="G27" s="1560">
        <f t="shared" si="5"/>
        <v>93384</v>
      </c>
      <c r="H27" s="1560">
        <v>5188</v>
      </c>
      <c r="I27" s="1560">
        <v>13</v>
      </c>
      <c r="J27" s="1560">
        <f t="shared" si="6"/>
        <v>67444</v>
      </c>
      <c r="K27" s="1942">
        <f t="shared" si="7"/>
        <v>-25940</v>
      </c>
      <c r="L27" s="1943"/>
    </row>
    <row r="28" spans="1:12" ht="15.75" thickBot="1" x14ac:dyDescent="0.3">
      <c r="A28" s="1549"/>
      <c r="B28" s="1549"/>
      <c r="C28" s="1549"/>
      <c r="D28" s="1549"/>
      <c r="E28" s="1944" t="s">
        <v>1997</v>
      </c>
      <c r="F28" s="1945"/>
      <c r="G28" s="1946"/>
      <c r="H28" s="1944" t="s">
        <v>1998</v>
      </c>
      <c r="I28" s="1945"/>
      <c r="J28" s="1946"/>
      <c r="K28" s="1549"/>
      <c r="L28" s="1549"/>
    </row>
  </sheetData>
  <mergeCells count="28">
    <mergeCell ref="A3:L3"/>
    <mergeCell ref="A5:G5"/>
    <mergeCell ref="B6:D6"/>
    <mergeCell ref="E6:G6"/>
    <mergeCell ref="H6:J6"/>
    <mergeCell ref="K6:L6"/>
    <mergeCell ref="K8:L8"/>
    <mergeCell ref="K9:L9"/>
    <mergeCell ref="K10:L10"/>
    <mergeCell ref="K11:L11"/>
    <mergeCell ref="K12:L12"/>
    <mergeCell ref="K13:L13"/>
    <mergeCell ref="K14:L14"/>
    <mergeCell ref="E16:G16"/>
    <mergeCell ref="H16:J16"/>
    <mergeCell ref="B19:D19"/>
    <mergeCell ref="E19:G19"/>
    <mergeCell ref="H19:J19"/>
    <mergeCell ref="K26:L26"/>
    <mergeCell ref="K27:L27"/>
    <mergeCell ref="E28:G28"/>
    <mergeCell ref="H28:J28"/>
    <mergeCell ref="K20:L20"/>
    <mergeCell ref="K21:L21"/>
    <mergeCell ref="K22:L22"/>
    <mergeCell ref="K23:L23"/>
    <mergeCell ref="K24:L24"/>
    <mergeCell ref="K25:L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zoomScale="75" zoomScaleNormal="75" workbookViewId="0">
      <selection activeCell="E5" sqref="E5:E7"/>
    </sheetView>
  </sheetViews>
  <sheetFormatPr baseColWidth="10" defaultRowHeight="12.75" x14ac:dyDescent="0.2"/>
  <cols>
    <col min="1" max="1" width="30.28515625" customWidth="1"/>
    <col min="2" max="2" width="23" customWidth="1"/>
    <col min="7" max="7" width="11.7109375" customWidth="1"/>
  </cols>
  <sheetData>
    <row r="1" spans="1:10" x14ac:dyDescent="0.2">
      <c r="A1" s="1313" t="s">
        <v>229</v>
      </c>
      <c r="B1" s="1314"/>
      <c r="C1" s="1314"/>
      <c r="D1" s="1315"/>
      <c r="E1" s="1316"/>
      <c r="F1" s="1315"/>
      <c r="G1" s="1317"/>
      <c r="H1" s="1318"/>
      <c r="I1" s="1319"/>
      <c r="J1" s="1315"/>
    </row>
    <row r="2" spans="1:10" ht="46.9" customHeight="1" x14ac:dyDescent="0.2">
      <c r="A2" s="1313" t="s">
        <v>1896</v>
      </c>
      <c r="B2" s="1314"/>
      <c r="C2" s="1314"/>
      <c r="D2" s="1315"/>
      <c r="E2" s="1316"/>
      <c r="F2" s="1315"/>
      <c r="G2" s="1317"/>
      <c r="H2" s="1318"/>
      <c r="I2" s="1319"/>
      <c r="J2" s="1315"/>
    </row>
    <row r="3" spans="1:10" x14ac:dyDescent="0.2">
      <c r="A3" s="1320"/>
      <c r="B3" s="1321"/>
      <c r="C3" s="1321"/>
      <c r="D3" s="1315"/>
      <c r="E3" s="1316"/>
      <c r="F3" s="1315"/>
      <c r="G3" s="1317"/>
      <c r="H3" s="1318"/>
      <c r="I3" s="1319"/>
      <c r="J3" s="1315"/>
    </row>
    <row r="4" spans="1:10" ht="13.5" thickBot="1" x14ac:dyDescent="0.25">
      <c r="A4" s="1322" t="s">
        <v>1897</v>
      </c>
      <c r="B4" s="1313"/>
      <c r="C4" s="1313"/>
      <c r="D4" s="1323"/>
      <c r="E4" s="1324"/>
      <c r="F4" s="1323"/>
      <c r="G4" s="1325"/>
      <c r="H4" s="1326"/>
      <c r="I4" s="1319"/>
      <c r="J4" s="1315"/>
    </row>
    <row r="5" spans="1:10" x14ac:dyDescent="0.2">
      <c r="A5" s="1968" t="s">
        <v>1898</v>
      </c>
      <c r="B5" s="1956" t="s">
        <v>1899</v>
      </c>
      <c r="C5" s="1956"/>
      <c r="D5" s="1970" t="s">
        <v>1900</v>
      </c>
      <c r="E5" s="1972" t="s">
        <v>1901</v>
      </c>
      <c r="F5" s="1973" t="s">
        <v>1902</v>
      </c>
      <c r="G5" s="1956" t="s">
        <v>297</v>
      </c>
      <c r="H5" s="1956"/>
      <c r="I5" s="1956"/>
      <c r="J5" s="1416"/>
    </row>
    <row r="6" spans="1:10" x14ac:dyDescent="0.2">
      <c r="A6" s="1969"/>
      <c r="B6" s="1863"/>
      <c r="C6" s="1862"/>
      <c r="D6" s="1971"/>
      <c r="E6" s="1856"/>
      <c r="F6" s="1861"/>
      <c r="G6" s="1861">
        <v>8000</v>
      </c>
      <c r="H6" s="1861"/>
      <c r="I6" s="1861"/>
      <c r="J6" s="1417"/>
    </row>
    <row r="7" spans="1:10" ht="38.25" x14ac:dyDescent="0.2">
      <c r="A7" s="1969"/>
      <c r="B7" s="1863"/>
      <c r="C7" s="1862"/>
      <c r="D7" s="1971"/>
      <c r="E7" s="1856"/>
      <c r="F7" s="1861"/>
      <c r="G7" s="1330" t="s">
        <v>1903</v>
      </c>
      <c r="H7" s="1330" t="s">
        <v>1904</v>
      </c>
      <c r="I7" s="1331" t="s">
        <v>1905</v>
      </c>
      <c r="J7" s="1418" t="s">
        <v>1961</v>
      </c>
    </row>
    <row r="8" spans="1:10" x14ac:dyDescent="0.2">
      <c r="A8" s="1419" t="s">
        <v>1906</v>
      </c>
      <c r="B8" s="1333"/>
      <c r="C8" s="1333"/>
      <c r="D8" s="1334"/>
      <c r="E8" s="1335">
        <f>SUM(E12+E14+E20)</f>
        <v>12.7</v>
      </c>
      <c r="F8" s="1335"/>
      <c r="G8" s="1335">
        <f>SUM(G12+G14+G20)</f>
        <v>768200</v>
      </c>
      <c r="H8" s="1335">
        <f>SUM(H12+H14+H20)</f>
        <v>4431807</v>
      </c>
      <c r="I8" s="1335">
        <f>SUM(I12+I14+I20)</f>
        <v>553.97587499999997</v>
      </c>
      <c r="J8" s="1417"/>
    </row>
    <row r="9" spans="1:10" x14ac:dyDescent="0.2">
      <c r="A9" s="1419" t="s">
        <v>656</v>
      </c>
      <c r="B9" s="1332" t="s">
        <v>656</v>
      </c>
      <c r="C9" s="1332"/>
      <c r="D9" s="1336"/>
      <c r="E9" s="1337"/>
      <c r="F9" s="1330"/>
      <c r="G9" s="1338"/>
      <c r="H9" s="1339"/>
      <c r="I9" s="1340"/>
      <c r="J9" s="1417"/>
    </row>
    <row r="10" spans="1:10" x14ac:dyDescent="0.2">
      <c r="A10" s="1420" t="s">
        <v>1907</v>
      </c>
      <c r="B10" s="1341" t="s">
        <v>1908</v>
      </c>
      <c r="C10" s="430" t="s">
        <v>1909</v>
      </c>
      <c r="D10" s="1342">
        <v>1</v>
      </c>
      <c r="E10" s="1343">
        <v>2</v>
      </c>
      <c r="F10" s="1344">
        <v>10.762</v>
      </c>
      <c r="G10" s="1345">
        <f>SUM(D10*E10*G6)</f>
        <v>16000</v>
      </c>
      <c r="H10" s="1339">
        <f>G10*F10</f>
        <v>172192</v>
      </c>
      <c r="I10" s="1340">
        <f>SUM(H10/G6)</f>
        <v>21.524000000000001</v>
      </c>
      <c r="J10" s="1417"/>
    </row>
    <row r="11" spans="1:10" x14ac:dyDescent="0.2">
      <c r="A11" s="1420" t="s">
        <v>1910</v>
      </c>
      <c r="B11" s="1341" t="s">
        <v>1911</v>
      </c>
      <c r="C11" s="430" t="s">
        <v>1909</v>
      </c>
      <c r="D11" s="1342">
        <v>0.75</v>
      </c>
      <c r="E11" s="1343">
        <v>2</v>
      </c>
      <c r="F11" s="1344">
        <v>9.9410000000000007</v>
      </c>
      <c r="G11" s="1345">
        <f>SUM(D11*E11*G6)</f>
        <v>12000</v>
      </c>
      <c r="H11" s="1339">
        <f>G11*F11</f>
        <v>119292.00000000001</v>
      </c>
      <c r="I11" s="1340">
        <f>SUM(H11/G6)</f>
        <v>14.911500000000002</v>
      </c>
      <c r="J11" s="1417"/>
    </row>
    <row r="12" spans="1:10" x14ac:dyDescent="0.2">
      <c r="A12" s="1421" t="s">
        <v>1912</v>
      </c>
      <c r="B12" s="1346" t="s">
        <v>1912</v>
      </c>
      <c r="C12" s="1346"/>
      <c r="D12" s="1342"/>
      <c r="E12" s="1330">
        <f>SUM(E10:E11)</f>
        <v>4</v>
      </c>
      <c r="F12" s="1330"/>
      <c r="G12" s="1347">
        <f>SUM(G10:G11)</f>
        <v>28000</v>
      </c>
      <c r="H12" s="1347">
        <f>SUM(H10:H11)</f>
        <v>291484</v>
      </c>
      <c r="I12" s="1330">
        <f>SUM(I10:I11)</f>
        <v>36.435500000000005</v>
      </c>
      <c r="J12" s="1422">
        <f>I12*24</f>
        <v>874.45200000000011</v>
      </c>
    </row>
    <row r="13" spans="1:10" x14ac:dyDescent="0.2">
      <c r="A13" s="1423" t="s">
        <v>1913</v>
      </c>
      <c r="B13" s="1348" t="s">
        <v>759</v>
      </c>
      <c r="C13" s="1348"/>
      <c r="D13" s="1342">
        <v>0.75</v>
      </c>
      <c r="E13" s="1343">
        <v>0.7</v>
      </c>
      <c r="F13" s="1330">
        <v>19.315000000000001</v>
      </c>
      <c r="G13" s="1345">
        <f>SUM(D13*E13*G6)</f>
        <v>4199.9999999999991</v>
      </c>
      <c r="H13" s="1339">
        <f>G13*F13</f>
        <v>81122.999999999985</v>
      </c>
      <c r="I13" s="1340">
        <f>SUM(H13/G6)</f>
        <v>10.140374999999999</v>
      </c>
      <c r="J13" s="1422">
        <f>I13*24</f>
        <v>243.36899999999997</v>
      </c>
    </row>
    <row r="14" spans="1:10" x14ac:dyDescent="0.2">
      <c r="A14" s="1421" t="s">
        <v>1914</v>
      </c>
      <c r="B14" s="1346" t="s">
        <v>1914</v>
      </c>
      <c r="C14" s="1346"/>
      <c r="D14" s="1330"/>
      <c r="E14" s="1330">
        <f>SUM(E13:E13)</f>
        <v>0.7</v>
      </c>
      <c r="F14" s="1347"/>
      <c r="G14" s="1347">
        <f>SUM(G13:G13)</f>
        <v>4199.9999999999991</v>
      </c>
      <c r="H14" s="1349">
        <f>SUM(H13:H13)</f>
        <v>81122.999999999985</v>
      </c>
      <c r="I14" s="1330">
        <f>SUM(I13:I13)</f>
        <v>10.140374999999999</v>
      </c>
      <c r="J14" s="1422">
        <f>I14*24</f>
        <v>243.36899999999997</v>
      </c>
    </row>
    <row r="15" spans="1:10" x14ac:dyDescent="0.2">
      <c r="A15" s="1421"/>
      <c r="B15" s="1346"/>
      <c r="C15" s="1346"/>
      <c r="D15" s="1342"/>
      <c r="E15" s="1343"/>
      <c r="F15" s="1330"/>
      <c r="G15" s="1338"/>
      <c r="H15" s="1339"/>
      <c r="I15" s="1341"/>
      <c r="J15" s="1422"/>
    </row>
    <row r="16" spans="1:10" x14ac:dyDescent="0.2">
      <c r="A16" s="1957" t="s">
        <v>1915</v>
      </c>
      <c r="B16" s="1850"/>
      <c r="C16" s="1850"/>
      <c r="D16" s="1342"/>
      <c r="E16" s="1350"/>
      <c r="F16" s="1351"/>
      <c r="G16" s="1352"/>
      <c r="H16" s="1352"/>
      <c r="I16" s="1353"/>
      <c r="J16" s="1422"/>
    </row>
    <row r="17" spans="1:10" x14ac:dyDescent="0.2">
      <c r="A17" s="1424" t="s">
        <v>1916</v>
      </c>
      <c r="B17" s="1354" t="s">
        <v>1916</v>
      </c>
      <c r="C17" s="430" t="s">
        <v>1917</v>
      </c>
      <c r="D17" s="1342">
        <v>3</v>
      </c>
      <c r="E17" s="1343">
        <v>2</v>
      </c>
      <c r="F17" s="1344">
        <v>8.9499999999999993</v>
      </c>
      <c r="G17" s="1345">
        <f>SUM(D17*E17*G6)</f>
        <v>48000</v>
      </c>
      <c r="H17" s="1345">
        <f>SUM(F17*G17)</f>
        <v>429599.99999999994</v>
      </c>
      <c r="I17" s="1340">
        <f>SUM(H17/G6)</f>
        <v>53.699999999999996</v>
      </c>
      <c r="J17" s="1422"/>
    </row>
    <row r="18" spans="1:10" x14ac:dyDescent="0.2">
      <c r="A18" s="1425" t="s">
        <v>1918</v>
      </c>
      <c r="B18" s="430" t="s">
        <v>1919</v>
      </c>
      <c r="C18" s="430" t="s">
        <v>1917</v>
      </c>
      <c r="D18" s="1355">
        <v>3</v>
      </c>
      <c r="E18" s="1343">
        <v>2</v>
      </c>
      <c r="F18" s="1344">
        <v>8.9499999999999993</v>
      </c>
      <c r="G18" s="1345">
        <f>SUM(D18*E18*G6)</f>
        <v>48000</v>
      </c>
      <c r="H18" s="1345">
        <f>SUM(F18*G18)</f>
        <v>429599.99999999994</v>
      </c>
      <c r="I18" s="1340">
        <f>SUM(H18/G6)</f>
        <v>53.699999999999996</v>
      </c>
      <c r="J18" s="1422"/>
    </row>
    <row r="19" spans="1:10" x14ac:dyDescent="0.2">
      <c r="A19" s="1426" t="s">
        <v>1920</v>
      </c>
      <c r="B19" s="430" t="s">
        <v>1921</v>
      </c>
      <c r="C19" s="430" t="s">
        <v>1909</v>
      </c>
      <c r="D19" s="1356">
        <v>20</v>
      </c>
      <c r="E19" s="1343">
        <v>4</v>
      </c>
      <c r="F19" s="1344">
        <v>5</v>
      </c>
      <c r="G19" s="1345">
        <f>SUM(D19*E19*G6)</f>
        <v>640000</v>
      </c>
      <c r="H19" s="1345">
        <f>SUM(F19*G19)</f>
        <v>3200000</v>
      </c>
      <c r="I19" s="1340">
        <f>SUM(H19/G6)</f>
        <v>400</v>
      </c>
      <c r="J19" s="1422"/>
    </row>
    <row r="20" spans="1:10" ht="13.5" thickBot="1" x14ac:dyDescent="0.25">
      <c r="A20" s="1958" t="s">
        <v>1922</v>
      </c>
      <c r="B20" s="1959"/>
      <c r="C20" s="1959"/>
      <c r="D20" s="1427"/>
      <c r="E20" s="1428">
        <f>SUM(E17:E19)</f>
        <v>8</v>
      </c>
      <c r="F20" s="1429"/>
      <c r="G20" s="1430">
        <f>SUM(G17:G19)</f>
        <v>736000</v>
      </c>
      <c r="H20" s="1430">
        <f>SUM(H17:H19)</f>
        <v>4059200</v>
      </c>
      <c r="I20" s="1428">
        <f>SUM(I17:I19)</f>
        <v>507.4</v>
      </c>
      <c r="J20" s="1431">
        <f>I20*3</f>
        <v>1522.1999999999998</v>
      </c>
    </row>
    <row r="22" spans="1:10" x14ac:dyDescent="0.2">
      <c r="A22" s="1358" t="s">
        <v>1923</v>
      </c>
      <c r="B22" s="1359"/>
      <c r="C22" s="1359"/>
      <c r="D22" s="1358"/>
      <c r="E22" s="1360"/>
      <c r="F22" s="1361"/>
      <c r="G22" s="1362"/>
      <c r="H22" s="1362"/>
      <c r="I22" s="1363"/>
      <c r="J22" s="1364"/>
    </row>
    <row r="23" spans="1:10" x14ac:dyDescent="0.2">
      <c r="A23" s="1365"/>
      <c r="B23" s="1366"/>
      <c r="C23" s="1366"/>
      <c r="D23" s="1367"/>
      <c r="E23" s="1368"/>
      <c r="F23" s="1369"/>
      <c r="G23" s="1362"/>
      <c r="H23" s="1362"/>
      <c r="I23" s="1363"/>
      <c r="J23" s="1364"/>
    </row>
    <row r="24" spans="1:10" ht="13.5" thickBot="1" x14ac:dyDescent="0.25">
      <c r="A24" s="1365"/>
      <c r="B24" s="1366"/>
      <c r="C24" s="1366"/>
      <c r="D24" s="1367"/>
      <c r="E24" s="1368"/>
      <c r="F24" s="1369"/>
      <c r="G24" s="1362"/>
      <c r="H24" s="1362"/>
      <c r="I24" s="1363"/>
      <c r="J24" s="1364"/>
    </row>
    <row r="25" spans="1:10" x14ac:dyDescent="0.2">
      <c r="A25" s="1960" t="s">
        <v>1898</v>
      </c>
      <c r="B25" s="1962" t="s">
        <v>1899</v>
      </c>
      <c r="C25" s="1433"/>
      <c r="D25" s="1963" t="s">
        <v>1900</v>
      </c>
      <c r="E25" s="1964" t="s">
        <v>1901</v>
      </c>
      <c r="F25" s="1965" t="s">
        <v>1902</v>
      </c>
      <c r="G25" s="1962" t="s">
        <v>1924</v>
      </c>
      <c r="H25" s="1962"/>
      <c r="I25" s="1967"/>
      <c r="J25" s="1977" t="s">
        <v>1961</v>
      </c>
    </row>
    <row r="26" spans="1:10" x14ac:dyDescent="0.2">
      <c r="A26" s="1961"/>
      <c r="B26" s="1858"/>
      <c r="C26" s="1432"/>
      <c r="D26" s="1866"/>
      <c r="E26" s="1864"/>
      <c r="F26" s="1966"/>
      <c r="G26" s="1982">
        <v>9560</v>
      </c>
      <c r="H26" s="1982"/>
      <c r="I26" s="1983"/>
      <c r="J26" s="1978"/>
    </row>
    <row r="27" spans="1:10" ht="13.5" thickBot="1" x14ac:dyDescent="0.25">
      <c r="A27" s="1961"/>
      <c r="B27" s="1858"/>
      <c r="C27" s="1432"/>
      <c r="D27" s="1866"/>
      <c r="E27" s="1864"/>
      <c r="F27" s="1966"/>
      <c r="G27" s="1370" t="s">
        <v>1903</v>
      </c>
      <c r="H27" s="1370" t="s">
        <v>1904</v>
      </c>
      <c r="I27" s="1446" t="s">
        <v>1905</v>
      </c>
      <c r="J27" s="1882"/>
    </row>
    <row r="28" spans="1:10" x14ac:dyDescent="0.2">
      <c r="A28" s="1435" t="s">
        <v>1906</v>
      </c>
      <c r="B28" s="1373"/>
      <c r="C28" s="1373"/>
      <c r="D28" s="1374"/>
      <c r="E28" s="1375">
        <f>SUM(E34+E31+E40)</f>
        <v>7.5</v>
      </c>
      <c r="F28" s="1375"/>
      <c r="G28" s="1375">
        <f>SUM(G34+G31+G40)</f>
        <v>181162</v>
      </c>
      <c r="H28" s="1375">
        <f>SUM(H34+H31+H40)</f>
        <v>1707634.4459999998</v>
      </c>
      <c r="I28" s="1375">
        <f>SUM(I34+I31+I40)</f>
        <v>178.62285</v>
      </c>
      <c r="J28" s="1447"/>
    </row>
    <row r="29" spans="1:10" x14ac:dyDescent="0.2">
      <c r="A29" s="1435" t="s">
        <v>656</v>
      </c>
      <c r="B29" s="1372" t="s">
        <v>656</v>
      </c>
      <c r="C29" s="1372"/>
      <c r="D29" s="1376"/>
      <c r="E29" s="1377"/>
      <c r="F29" s="1378"/>
      <c r="G29" s="1379"/>
      <c r="H29" s="1379"/>
      <c r="I29" s="1371"/>
      <c r="J29" s="1434"/>
    </row>
    <row r="30" spans="1:10" x14ac:dyDescent="0.2">
      <c r="A30" s="1436" t="s">
        <v>1925</v>
      </c>
      <c r="B30" s="1381" t="s">
        <v>1926</v>
      </c>
      <c r="C30" s="1380"/>
      <c r="D30" s="1379">
        <v>0.4</v>
      </c>
      <c r="E30" s="1382">
        <v>0.5</v>
      </c>
      <c r="F30" s="1378">
        <v>15.183</v>
      </c>
      <c r="G30" s="1379">
        <f>SUM(D30*E30*G26)</f>
        <v>1912</v>
      </c>
      <c r="H30" s="1379">
        <f>SUM(F30*G30)</f>
        <v>29029.896000000001</v>
      </c>
      <c r="I30" s="1383">
        <f>SUM(H30/G26)</f>
        <v>3.0366</v>
      </c>
      <c r="J30" s="1434"/>
    </row>
    <row r="31" spans="1:10" x14ac:dyDescent="0.2">
      <c r="A31" s="1984" t="s">
        <v>1912</v>
      </c>
      <c r="B31" s="1985"/>
      <c r="C31" s="1384"/>
      <c r="D31" s="1379"/>
      <c r="E31" s="1370">
        <f>SUM(E30)</f>
        <v>0.5</v>
      </c>
      <c r="F31" s="1370"/>
      <c r="G31" s="1370">
        <f>SUM(G30)</f>
        <v>1912</v>
      </c>
      <c r="H31" s="1370">
        <f>SUM(H30)</f>
        <v>29029.896000000001</v>
      </c>
      <c r="I31" s="1383">
        <f>SUM(I30)</f>
        <v>3.0366</v>
      </c>
      <c r="J31" s="1434">
        <f>I31*24</f>
        <v>72.878399999999999</v>
      </c>
    </row>
    <row r="32" spans="1:10" x14ac:dyDescent="0.2">
      <c r="A32" s="1437" t="s">
        <v>780</v>
      </c>
      <c r="B32" s="1384" t="s">
        <v>780</v>
      </c>
      <c r="C32" s="1384"/>
      <c r="D32" s="1379"/>
      <c r="E32" s="1382"/>
      <c r="F32" s="1378"/>
      <c r="G32" s="1379"/>
      <c r="H32" s="1370"/>
      <c r="I32" s="1383"/>
      <c r="J32" s="1434">
        <f t="shared" ref="J32:J39" si="0">I32*24</f>
        <v>0</v>
      </c>
    </row>
    <row r="33" spans="1:10" x14ac:dyDescent="0.2">
      <c r="A33" s="1438" t="s">
        <v>1913</v>
      </c>
      <c r="B33" s="1385" t="s">
        <v>759</v>
      </c>
      <c r="C33" s="1385"/>
      <c r="D33" s="1379">
        <v>0.75</v>
      </c>
      <c r="E33" s="1382">
        <v>1</v>
      </c>
      <c r="F33" s="1378">
        <v>19.315000000000001</v>
      </c>
      <c r="G33" s="1379">
        <f>SUM(D33*E33*G26)</f>
        <v>7170</v>
      </c>
      <c r="H33" s="1379">
        <f>SUM(F33*G33)</f>
        <v>138488.55000000002</v>
      </c>
      <c r="I33" s="1383">
        <f>SUM(H33/G26)</f>
        <v>14.486250000000002</v>
      </c>
      <c r="J33" s="1434">
        <f t="shared" si="0"/>
        <v>347.67000000000007</v>
      </c>
    </row>
    <row r="34" spans="1:10" x14ac:dyDescent="0.2">
      <c r="A34" s="1984" t="s">
        <v>1914</v>
      </c>
      <c r="B34" s="1985"/>
      <c r="C34" s="1384"/>
      <c r="D34" s="1370"/>
      <c r="E34" s="1386">
        <f>SUM(E33:E33)</f>
        <v>1</v>
      </c>
      <c r="F34" s="1386"/>
      <c r="G34" s="1386">
        <f>SUM(G33:G33)</f>
        <v>7170</v>
      </c>
      <c r="H34" s="1386">
        <f>SUM(H33:H33)</f>
        <v>138488.55000000002</v>
      </c>
      <c r="I34" s="1383">
        <f>SUM(I33)</f>
        <v>14.486250000000002</v>
      </c>
      <c r="J34" s="1434">
        <f t="shared" si="0"/>
        <v>347.67000000000007</v>
      </c>
    </row>
    <row r="35" spans="1:10" x14ac:dyDescent="0.2">
      <c r="A35" s="1439" t="s">
        <v>1765</v>
      </c>
      <c r="B35" s="1387"/>
      <c r="C35" s="1387"/>
      <c r="D35" s="1379"/>
      <c r="E35" s="1382"/>
      <c r="F35" s="1378"/>
      <c r="G35" s="1379"/>
      <c r="H35" s="1379"/>
      <c r="I35" s="1383"/>
      <c r="J35" s="1434">
        <f t="shared" si="0"/>
        <v>0</v>
      </c>
    </row>
    <row r="36" spans="1:10" x14ac:dyDescent="0.2">
      <c r="A36" s="1986" t="s">
        <v>1915</v>
      </c>
      <c r="B36" s="1859"/>
      <c r="C36" s="1859"/>
      <c r="D36" s="1379"/>
      <c r="E36" s="1388"/>
      <c r="F36" s="1389"/>
      <c r="G36" s="1390"/>
      <c r="H36" s="1390"/>
      <c r="I36" s="1386"/>
      <c r="J36" s="1434">
        <f t="shared" si="0"/>
        <v>0</v>
      </c>
    </row>
    <row r="37" spans="1:10" x14ac:dyDescent="0.2">
      <c r="A37" s="1440" t="s">
        <v>1927</v>
      </c>
      <c r="B37" s="1391" t="s">
        <v>1927</v>
      </c>
      <c r="C37" s="1392" t="s">
        <v>1928</v>
      </c>
      <c r="D37" s="1393">
        <v>3</v>
      </c>
      <c r="E37" s="1382">
        <v>2</v>
      </c>
      <c r="F37" s="1389">
        <v>8.9499999999999993</v>
      </c>
      <c r="G37" s="1379">
        <f>SUM(D37*E37*G26)</f>
        <v>57360</v>
      </c>
      <c r="H37" s="1394">
        <f>SUM(F37*G37)</f>
        <v>513371.99999999994</v>
      </c>
      <c r="I37" s="1383">
        <f>SUM(H37/G26)</f>
        <v>53.699999999999996</v>
      </c>
      <c r="J37" s="1434">
        <f t="shared" si="0"/>
        <v>1288.8</v>
      </c>
    </row>
    <row r="38" spans="1:10" x14ac:dyDescent="0.2">
      <c r="A38" s="1440" t="s">
        <v>1929</v>
      </c>
      <c r="B38" s="1391" t="s">
        <v>1930</v>
      </c>
      <c r="C38" s="1391" t="s">
        <v>1931</v>
      </c>
      <c r="D38" s="1393">
        <v>3</v>
      </c>
      <c r="E38" s="1382">
        <v>2</v>
      </c>
      <c r="F38" s="1389">
        <v>8.9499999999999993</v>
      </c>
      <c r="G38" s="1379">
        <f>SUM(D38*E38*G26)</f>
        <v>57360</v>
      </c>
      <c r="H38" s="1394">
        <f>SUM(F38*G38)</f>
        <v>513371.99999999994</v>
      </c>
      <c r="I38" s="1383">
        <f>SUM(H38/G26)</f>
        <v>53.699999999999996</v>
      </c>
      <c r="J38" s="1434">
        <f t="shared" si="0"/>
        <v>1288.8</v>
      </c>
    </row>
    <row r="39" spans="1:10" x14ac:dyDescent="0.2">
      <c r="A39" s="1440" t="s">
        <v>1918</v>
      </c>
      <c r="B39" s="1391" t="s">
        <v>1919</v>
      </c>
      <c r="C39" s="1391" t="s">
        <v>1932</v>
      </c>
      <c r="D39" s="1393">
        <v>3</v>
      </c>
      <c r="E39" s="1382">
        <v>2</v>
      </c>
      <c r="F39" s="1389">
        <v>8.9499999999999993</v>
      </c>
      <c r="G39" s="1379">
        <f>SUM(D39*E39*G26)</f>
        <v>57360</v>
      </c>
      <c r="H39" s="1394">
        <f>SUM(F39*G39)</f>
        <v>513371.99999999994</v>
      </c>
      <c r="I39" s="1383">
        <f>SUM(H39/G26)</f>
        <v>53.699999999999996</v>
      </c>
      <c r="J39" s="1434">
        <f t="shared" si="0"/>
        <v>1288.8</v>
      </c>
    </row>
    <row r="40" spans="1:10" ht="13.5" thickBot="1" x14ac:dyDescent="0.25">
      <c r="A40" s="1987" t="s">
        <v>1922</v>
      </c>
      <c r="B40" s="1988"/>
      <c r="C40" s="1988"/>
      <c r="D40" s="1441"/>
      <c r="E40" s="1442">
        <f>SUM(E37:E39)</f>
        <v>6</v>
      </c>
      <c r="F40" s="1443"/>
      <c r="G40" s="1444">
        <f>SUM(G37:G39)</f>
        <v>172080</v>
      </c>
      <c r="H40" s="1444">
        <f>SUM(H37:H39)</f>
        <v>1540115.9999999998</v>
      </c>
      <c r="I40" s="1442">
        <f>SUM(I37:I39)</f>
        <v>161.1</v>
      </c>
      <c r="J40" s="1445">
        <f>I40*3</f>
        <v>483.29999999999995</v>
      </c>
    </row>
    <row r="42" spans="1:10" x14ac:dyDescent="0.2">
      <c r="A42" s="1322" t="s">
        <v>1960</v>
      </c>
      <c r="B42" s="1313"/>
      <c r="C42" s="1313"/>
      <c r="D42" s="1322"/>
      <c r="E42" s="1324"/>
      <c r="F42" s="1395"/>
      <c r="G42" s="1396"/>
      <c r="H42" s="1396"/>
      <c r="I42" s="1397"/>
      <c r="J42" s="1315"/>
    </row>
    <row r="43" spans="1:10" x14ac:dyDescent="0.2">
      <c r="A43" s="1327"/>
      <c r="B43" s="1328"/>
      <c r="C43" s="1328"/>
      <c r="D43" s="1398"/>
      <c r="E43" s="1329"/>
      <c r="F43" s="1399"/>
      <c r="G43" s="1396"/>
      <c r="H43" s="1396"/>
      <c r="I43" s="1397"/>
      <c r="J43" s="1315"/>
    </row>
    <row r="44" spans="1:10" ht="13.5" thickBot="1" x14ac:dyDescent="0.25">
      <c r="A44" s="1327"/>
      <c r="B44" s="1328"/>
      <c r="C44" s="1328"/>
      <c r="D44" s="1398"/>
      <c r="E44" s="1329"/>
      <c r="F44" s="1399"/>
      <c r="G44" s="1396"/>
      <c r="H44" s="1396"/>
      <c r="I44" s="1397"/>
      <c r="J44" s="1315"/>
    </row>
    <row r="45" spans="1:10" x14ac:dyDescent="0.2">
      <c r="A45" s="1968" t="s">
        <v>1898</v>
      </c>
      <c r="B45" s="1956" t="s">
        <v>1899</v>
      </c>
      <c r="C45" s="1451"/>
      <c r="D45" s="1974" t="s">
        <v>1900</v>
      </c>
      <c r="E45" s="1972" t="s">
        <v>1901</v>
      </c>
      <c r="F45" s="1975" t="s">
        <v>1902</v>
      </c>
      <c r="G45" s="1956" t="s">
        <v>1924</v>
      </c>
      <c r="H45" s="1979"/>
      <c r="I45" s="1456"/>
      <c r="J45" s="1977" t="s">
        <v>1961</v>
      </c>
    </row>
    <row r="46" spans="1:10" x14ac:dyDescent="0.2">
      <c r="A46" s="1969"/>
      <c r="B46" s="1863"/>
      <c r="C46" s="1448"/>
      <c r="D46" s="1860"/>
      <c r="E46" s="1856"/>
      <c r="F46" s="1976"/>
      <c r="G46" s="1861">
        <v>9560</v>
      </c>
      <c r="H46" s="1861"/>
      <c r="I46" s="1457"/>
      <c r="J46" s="1978"/>
    </row>
    <row r="47" spans="1:10" ht="13.5" thickBot="1" x14ac:dyDescent="0.25">
      <c r="A47" s="1969"/>
      <c r="B47" s="1863"/>
      <c r="C47" s="1448"/>
      <c r="D47" s="1860"/>
      <c r="E47" s="1856"/>
      <c r="F47" s="1976"/>
      <c r="G47" s="1330" t="s">
        <v>1903</v>
      </c>
      <c r="H47" s="1330" t="s">
        <v>1904</v>
      </c>
      <c r="I47" s="1457" t="s">
        <v>1905</v>
      </c>
      <c r="J47" s="1882"/>
    </row>
    <row r="48" spans="1:10" x14ac:dyDescent="0.2">
      <c r="A48" s="1419" t="s">
        <v>1906</v>
      </c>
      <c r="B48" s="1333"/>
      <c r="C48" s="1333"/>
      <c r="D48" s="1400"/>
      <c r="E48" s="1330">
        <f>SUM(E56+E62+E68)</f>
        <v>25</v>
      </c>
      <c r="F48" s="1330"/>
      <c r="G48" s="1330">
        <f>SUM(G56+G62+G68)</f>
        <v>377715.6</v>
      </c>
      <c r="H48" s="1330">
        <f>SUM(H56+H62+H68)</f>
        <v>2846900.9844</v>
      </c>
      <c r="I48" s="1330">
        <f>SUM(I56+I62+I68)</f>
        <v>297.79298999999997</v>
      </c>
      <c r="J48" s="1458"/>
    </row>
    <row r="49" spans="1:10" x14ac:dyDescent="0.2">
      <c r="A49" s="1452" t="s">
        <v>716</v>
      </c>
      <c r="B49" s="1401" t="s">
        <v>716</v>
      </c>
      <c r="C49" s="1401"/>
      <c r="D49" s="1357"/>
      <c r="E49" s="1342"/>
      <c r="F49" s="1330"/>
      <c r="G49" s="1342"/>
      <c r="H49" s="1342">
        <f t="shared" ref="H49:H55" si="1">G49*F49</f>
        <v>0</v>
      </c>
      <c r="I49" s="1402"/>
      <c r="J49" s="1417"/>
    </row>
    <row r="50" spans="1:10" x14ac:dyDescent="0.2">
      <c r="A50" s="1423" t="s">
        <v>1933</v>
      </c>
      <c r="B50" s="1403" t="s">
        <v>1934</v>
      </c>
      <c r="C50" s="1404"/>
      <c r="D50" s="1342">
        <v>1</v>
      </c>
      <c r="E50" s="1342">
        <v>1</v>
      </c>
      <c r="F50" s="1330">
        <v>28.6</v>
      </c>
      <c r="G50" s="1342">
        <f>SUM(D50*E50*G46)</f>
        <v>9560</v>
      </c>
      <c r="H50" s="1342">
        <f t="shared" si="1"/>
        <v>273416</v>
      </c>
      <c r="I50" s="1340">
        <f>SUM(H50/G46)</f>
        <v>28.6</v>
      </c>
      <c r="J50" s="1417"/>
    </row>
    <row r="51" spans="1:10" x14ac:dyDescent="0.2">
      <c r="A51" s="1453" t="s">
        <v>1935</v>
      </c>
      <c r="B51" s="1406" t="s">
        <v>1936</v>
      </c>
      <c r="C51" s="1406"/>
      <c r="D51" s="1342">
        <v>1</v>
      </c>
      <c r="E51" s="1342">
        <v>2</v>
      </c>
      <c r="F51" s="1330">
        <v>14.577</v>
      </c>
      <c r="G51" s="1342">
        <f>SUM(D51*E51*G46)</f>
        <v>19120</v>
      </c>
      <c r="H51" s="1342">
        <f t="shared" si="1"/>
        <v>278712.24</v>
      </c>
      <c r="I51" s="1340">
        <f>SUM(H51/G46)</f>
        <v>29.154</v>
      </c>
      <c r="J51" s="1417"/>
    </row>
    <row r="52" spans="1:10" x14ac:dyDescent="0.2">
      <c r="A52" s="1423" t="s">
        <v>1937</v>
      </c>
      <c r="B52" s="1404" t="s">
        <v>1938</v>
      </c>
      <c r="C52" s="1404"/>
      <c r="D52" s="1342">
        <v>0.5</v>
      </c>
      <c r="E52" s="1342">
        <v>2</v>
      </c>
      <c r="F52" s="1330">
        <v>22.885999999999999</v>
      </c>
      <c r="G52" s="1342">
        <f>SUM(D52*E52*G46)</f>
        <v>9560</v>
      </c>
      <c r="H52" s="1342">
        <f t="shared" si="1"/>
        <v>218790.16</v>
      </c>
      <c r="I52" s="1340">
        <f>SUM(H52/G46)</f>
        <v>22.885999999999999</v>
      </c>
      <c r="J52" s="1417"/>
    </row>
    <row r="53" spans="1:10" x14ac:dyDescent="0.2">
      <c r="A53" s="1423" t="s">
        <v>1939</v>
      </c>
      <c r="B53" s="1404" t="s">
        <v>1940</v>
      </c>
      <c r="C53" s="1404"/>
      <c r="D53" s="1342">
        <v>0.5</v>
      </c>
      <c r="E53" s="1342">
        <v>2</v>
      </c>
      <c r="F53" s="1330">
        <v>20.216999999999999</v>
      </c>
      <c r="G53" s="1342">
        <f>SUM(D53*E53*G46)</f>
        <v>9560</v>
      </c>
      <c r="H53" s="1342">
        <f t="shared" si="1"/>
        <v>193274.52</v>
      </c>
      <c r="I53" s="1340">
        <f>SUM(H53/G46)</f>
        <v>20.216999999999999</v>
      </c>
      <c r="J53" s="1417"/>
    </row>
    <row r="54" spans="1:10" x14ac:dyDescent="0.2">
      <c r="A54" s="1423" t="s">
        <v>1941</v>
      </c>
      <c r="B54" s="1407" t="s">
        <v>1942</v>
      </c>
      <c r="C54" s="1407"/>
      <c r="D54" s="1342">
        <v>0.75</v>
      </c>
      <c r="E54" s="1342">
        <v>1</v>
      </c>
      <c r="F54" s="1330">
        <v>13.409000000000001</v>
      </c>
      <c r="G54" s="1342">
        <f>SUM(D54*E54*G46)</f>
        <v>7170</v>
      </c>
      <c r="H54" s="1342">
        <f t="shared" si="1"/>
        <v>96142.53</v>
      </c>
      <c r="I54" s="1340">
        <f>SUM(H54/G46)</f>
        <v>10.056749999999999</v>
      </c>
      <c r="J54" s="1417"/>
    </row>
    <row r="55" spans="1:10" x14ac:dyDescent="0.2">
      <c r="A55" s="1453" t="s">
        <v>1943</v>
      </c>
      <c r="B55" s="1408" t="s">
        <v>1944</v>
      </c>
      <c r="C55" s="1405"/>
      <c r="D55" s="1342">
        <v>2.5</v>
      </c>
      <c r="E55" s="1342">
        <v>5</v>
      </c>
      <c r="F55" s="1330">
        <v>4.04</v>
      </c>
      <c r="G55" s="1342">
        <f>SUM(D55*E55*G46)</f>
        <v>119500</v>
      </c>
      <c r="H55" s="1342">
        <f t="shared" si="1"/>
        <v>482780</v>
      </c>
      <c r="I55" s="1340">
        <f>SUM(H55/G46)</f>
        <v>50.5</v>
      </c>
      <c r="J55" s="1417"/>
    </row>
    <row r="56" spans="1:10" x14ac:dyDescent="0.2">
      <c r="A56" s="1980" t="s">
        <v>1945</v>
      </c>
      <c r="B56" s="1846"/>
      <c r="C56" s="1346"/>
      <c r="D56" s="1409"/>
      <c r="E56" s="1330">
        <f>SUM(E50:E55)</f>
        <v>13</v>
      </c>
      <c r="F56" s="1330"/>
      <c r="G56" s="1330">
        <f>SUM(G50:G55)</f>
        <v>174470</v>
      </c>
      <c r="H56" s="1330">
        <f>SUM(H50:H55)</f>
        <v>1543115.45</v>
      </c>
      <c r="I56" s="1330">
        <f>SUM(I50:I55)</f>
        <v>161.41374999999999</v>
      </c>
      <c r="J56" s="1422">
        <f>I56*24</f>
        <v>3873.93</v>
      </c>
    </row>
    <row r="57" spans="1:10" x14ac:dyDescent="0.2">
      <c r="A57" s="1421"/>
      <c r="B57" s="1346"/>
      <c r="C57" s="1346"/>
      <c r="D57" s="1357"/>
      <c r="E57" s="1342"/>
      <c r="F57" s="1330"/>
      <c r="G57" s="1342"/>
      <c r="H57" s="1342"/>
      <c r="I57" s="1402"/>
      <c r="J57" s="1422">
        <f t="shared" ref="J57:J74" si="2">I57*24</f>
        <v>0</v>
      </c>
    </row>
    <row r="58" spans="1:10" x14ac:dyDescent="0.2">
      <c r="A58" s="1980" t="s">
        <v>780</v>
      </c>
      <c r="B58" s="1846"/>
      <c r="C58" s="1346"/>
      <c r="D58" s="1357"/>
      <c r="E58" s="1342"/>
      <c r="F58" s="1330"/>
      <c r="G58" s="1342"/>
      <c r="H58" s="1342">
        <f>G58*F58</f>
        <v>0</v>
      </c>
      <c r="I58" s="1402"/>
      <c r="J58" s="1422">
        <f t="shared" si="2"/>
        <v>0</v>
      </c>
    </row>
    <row r="59" spans="1:10" x14ac:dyDescent="0.2">
      <c r="A59" s="1453" t="s">
        <v>1946</v>
      </c>
      <c r="B59" s="1405" t="s">
        <v>1947</v>
      </c>
      <c r="C59" s="1405"/>
      <c r="D59" s="1342">
        <v>1</v>
      </c>
      <c r="E59" s="1342">
        <v>1</v>
      </c>
      <c r="F59" s="1330">
        <v>14.752000000000001</v>
      </c>
      <c r="G59" s="1342">
        <f>SUM(D59*E59*G46)</f>
        <v>9560</v>
      </c>
      <c r="H59" s="1342">
        <f>G59*F59</f>
        <v>141029.12</v>
      </c>
      <c r="I59" s="1340">
        <f>SUM(H59/G46)</f>
        <v>14.751999999999999</v>
      </c>
      <c r="J59" s="1422">
        <f t="shared" si="2"/>
        <v>354.048</v>
      </c>
    </row>
    <row r="60" spans="1:10" x14ac:dyDescent="0.2">
      <c r="A60" s="1423" t="s">
        <v>1948</v>
      </c>
      <c r="B60" s="1341" t="s">
        <v>1949</v>
      </c>
      <c r="C60" s="1341"/>
      <c r="D60" s="1342">
        <v>0.1</v>
      </c>
      <c r="E60" s="1342">
        <v>1</v>
      </c>
      <c r="F60" s="1330">
        <v>156.03399999999999</v>
      </c>
      <c r="G60" s="1342">
        <f>SUM(D60*E60*G46)</f>
        <v>956</v>
      </c>
      <c r="H60" s="1342">
        <f>G60*F60</f>
        <v>149168.50399999999</v>
      </c>
      <c r="I60" s="1340">
        <f>SUM(H60/G46)</f>
        <v>15.603399999999999</v>
      </c>
      <c r="J60" s="1422">
        <f t="shared" si="2"/>
        <v>374.48159999999996</v>
      </c>
    </row>
    <row r="61" spans="1:10" x14ac:dyDescent="0.2">
      <c r="A61" s="1453" t="s">
        <v>1950</v>
      </c>
      <c r="B61" s="1410" t="s">
        <v>1951</v>
      </c>
      <c r="C61" s="1410"/>
      <c r="D61" s="1342">
        <v>4</v>
      </c>
      <c r="E61" s="1342">
        <v>1</v>
      </c>
      <c r="F61" s="1330">
        <v>3.8</v>
      </c>
      <c r="G61" s="1342">
        <f>SUM(D61*E61*G46)</f>
        <v>38240</v>
      </c>
      <c r="H61" s="1342">
        <f>G61*F61</f>
        <v>145312</v>
      </c>
      <c r="I61" s="1340">
        <f>SUM(H61/G46)</f>
        <v>15.2</v>
      </c>
      <c r="J61" s="1422">
        <f t="shared" si="2"/>
        <v>364.79999999999995</v>
      </c>
    </row>
    <row r="62" spans="1:10" x14ac:dyDescent="0.2">
      <c r="A62" s="1980" t="s">
        <v>1914</v>
      </c>
      <c r="B62" s="1846"/>
      <c r="C62" s="1346"/>
      <c r="D62" s="1330">
        <f>SUM(D59:D61)</f>
        <v>5.0999999999999996</v>
      </c>
      <c r="E62" s="1330"/>
      <c r="F62" s="1330"/>
      <c r="G62" s="1330">
        <f>SUM(G59:G61)</f>
        <v>48756</v>
      </c>
      <c r="H62" s="1330">
        <f>SUM(H59:H61)</f>
        <v>435509.62399999995</v>
      </c>
      <c r="I62" s="1330">
        <f>SUM(I59:I61)</f>
        <v>45.555399999999992</v>
      </c>
      <c r="J62" s="1422">
        <f t="shared" si="2"/>
        <v>1093.3295999999998</v>
      </c>
    </row>
    <row r="63" spans="1:10" x14ac:dyDescent="0.2">
      <c r="A63" s="1421"/>
      <c r="B63" s="1346"/>
      <c r="C63" s="1346"/>
      <c r="D63" s="1357"/>
      <c r="E63" s="1342"/>
      <c r="F63" s="1330"/>
      <c r="G63" s="1330"/>
      <c r="H63" s="1342"/>
      <c r="I63" s="1402"/>
      <c r="J63" s="1422">
        <f t="shared" si="2"/>
        <v>0</v>
      </c>
    </row>
    <row r="64" spans="1:10" x14ac:dyDescent="0.2">
      <c r="A64" s="1981" t="s">
        <v>1765</v>
      </c>
      <c r="B64" s="1847"/>
      <c r="C64" s="1449"/>
      <c r="D64" s="1357"/>
      <c r="E64" s="1342"/>
      <c r="F64" s="1330"/>
      <c r="G64" s="1342"/>
      <c r="H64" s="1342"/>
      <c r="I64" s="1402"/>
      <c r="J64" s="1422">
        <f t="shared" si="2"/>
        <v>0</v>
      </c>
    </row>
    <row r="65" spans="1:10" x14ac:dyDescent="0.2">
      <c r="A65" s="1453" t="s">
        <v>1952</v>
      </c>
      <c r="B65" s="1405" t="s">
        <v>1952</v>
      </c>
      <c r="C65" s="1405"/>
      <c r="D65" s="1342">
        <v>4</v>
      </c>
      <c r="E65" s="1342">
        <v>4</v>
      </c>
      <c r="F65" s="1330">
        <v>5.6</v>
      </c>
      <c r="G65" s="1342">
        <f>SUM(D65*E65*G46)</f>
        <v>152960</v>
      </c>
      <c r="H65" s="1342">
        <f>G65*F65</f>
        <v>856576</v>
      </c>
      <c r="I65" s="1340">
        <f>SUM(H65/G46)</f>
        <v>89.6</v>
      </c>
      <c r="J65" s="1422">
        <f t="shared" si="2"/>
        <v>2150.3999999999996</v>
      </c>
    </row>
    <row r="66" spans="1:10" x14ac:dyDescent="0.2">
      <c r="A66" s="1454" t="s">
        <v>1953</v>
      </c>
      <c r="B66" s="1406" t="s">
        <v>1954</v>
      </c>
      <c r="C66" s="1406"/>
      <c r="D66" s="1342">
        <v>0.02</v>
      </c>
      <c r="E66" s="1342">
        <v>4</v>
      </c>
      <c r="F66" s="1346">
        <v>11.348000000000001</v>
      </c>
      <c r="G66" s="1342">
        <f>SUM(D66*E66*G46)</f>
        <v>764.80000000000007</v>
      </c>
      <c r="H66" s="1342">
        <f>G66*F66</f>
        <v>8678.9504000000015</v>
      </c>
      <c r="I66" s="1340">
        <f>SUM(H66/G46)</f>
        <v>0.9078400000000002</v>
      </c>
      <c r="J66" s="1422">
        <f t="shared" si="2"/>
        <v>21.788160000000005</v>
      </c>
    </row>
    <row r="67" spans="1:10" x14ac:dyDescent="0.2">
      <c r="A67" s="1454" t="s">
        <v>1955</v>
      </c>
      <c r="B67" s="1411" t="s">
        <v>1956</v>
      </c>
      <c r="C67" s="1411"/>
      <c r="D67" s="1342">
        <v>0.02</v>
      </c>
      <c r="E67" s="1342">
        <v>4</v>
      </c>
      <c r="F67" s="1346">
        <v>3.95</v>
      </c>
      <c r="G67" s="1342">
        <f>SUM(D67*E67*G46)</f>
        <v>764.80000000000007</v>
      </c>
      <c r="H67" s="1342">
        <f>G67*F67</f>
        <v>3020.9600000000005</v>
      </c>
      <c r="I67" s="1340">
        <f>SUM(H67/G46)</f>
        <v>0.31600000000000006</v>
      </c>
      <c r="J67" s="1422">
        <f t="shared" si="2"/>
        <v>7.5840000000000014</v>
      </c>
    </row>
    <row r="68" spans="1:10" x14ac:dyDescent="0.2">
      <c r="A68" s="1957" t="s">
        <v>1957</v>
      </c>
      <c r="B68" s="1850"/>
      <c r="C68" s="1450"/>
      <c r="D68" s="1342">
        <f>SUM(D65:D67)</f>
        <v>4.0399999999999991</v>
      </c>
      <c r="E68" s="1342">
        <f>SUM(E65:E67)</f>
        <v>12</v>
      </c>
      <c r="F68" s="1342"/>
      <c r="G68" s="1342">
        <f>SUM(G65:G67)</f>
        <v>154489.59999999998</v>
      </c>
      <c r="H68" s="1342">
        <f>SUM(H65:H67)</f>
        <v>868275.91039999994</v>
      </c>
      <c r="I68" s="1342">
        <f>SUM(I65:I67)</f>
        <v>90.82383999999999</v>
      </c>
      <c r="J68" s="1422">
        <f t="shared" si="2"/>
        <v>2179.7721599999995</v>
      </c>
    </row>
    <row r="69" spans="1:10" x14ac:dyDescent="0.2">
      <c r="A69" s="1957" t="s">
        <v>1915</v>
      </c>
      <c r="B69" s="1850"/>
      <c r="C69" s="1850"/>
      <c r="D69" s="1342"/>
      <c r="E69" s="1350"/>
      <c r="F69" s="1351"/>
      <c r="G69" s="1352"/>
      <c r="H69" s="1352"/>
      <c r="I69" s="1353"/>
      <c r="J69" s="1422">
        <f t="shared" si="2"/>
        <v>0</v>
      </c>
    </row>
    <row r="70" spans="1:10" x14ac:dyDescent="0.2">
      <c r="A70" s="1425" t="s">
        <v>1927</v>
      </c>
      <c r="B70" s="430" t="s">
        <v>1927</v>
      </c>
      <c r="C70" s="1412" t="s">
        <v>1928</v>
      </c>
      <c r="D70" s="1355">
        <v>3</v>
      </c>
      <c r="E70" s="1343">
        <v>2</v>
      </c>
      <c r="F70" s="1351">
        <v>8.9499999999999993</v>
      </c>
      <c r="G70" s="1342">
        <f>SUM(D70*E70*G46)</f>
        <v>57360</v>
      </c>
      <c r="H70" s="1345">
        <f>SUM(F70*G70)</f>
        <v>513371.99999999994</v>
      </c>
      <c r="I70" s="1340">
        <f>SUM(H70/G46)</f>
        <v>53.699999999999996</v>
      </c>
      <c r="J70" s="1422">
        <f t="shared" si="2"/>
        <v>1288.8</v>
      </c>
    </row>
    <row r="71" spans="1:10" x14ac:dyDescent="0.2">
      <c r="A71" s="1455" t="s">
        <v>1958</v>
      </c>
      <c r="B71" s="1413" t="s">
        <v>1958</v>
      </c>
      <c r="C71" s="1413" t="s">
        <v>1959</v>
      </c>
      <c r="D71" s="1414">
        <v>8</v>
      </c>
      <c r="E71" s="1415">
        <v>1</v>
      </c>
      <c r="F71" s="1351">
        <v>8.9499999999999993</v>
      </c>
      <c r="G71" s="1342">
        <f>SUM(D71*E71*G46)</f>
        <v>76480</v>
      </c>
      <c r="H71" s="1345">
        <f>SUM(F71*G71)</f>
        <v>684496</v>
      </c>
      <c r="I71" s="1340">
        <f>SUM(H71/G46)</f>
        <v>71.599999999999994</v>
      </c>
      <c r="J71" s="1422">
        <f t="shared" si="2"/>
        <v>1718.3999999999999</v>
      </c>
    </row>
    <row r="72" spans="1:10" x14ac:dyDescent="0.2">
      <c r="A72" s="1425" t="s">
        <v>1929</v>
      </c>
      <c r="B72" s="430" t="s">
        <v>1930</v>
      </c>
      <c r="C72" s="430" t="s">
        <v>1931</v>
      </c>
      <c r="D72" s="1355">
        <v>3</v>
      </c>
      <c r="E72" s="1343">
        <v>2</v>
      </c>
      <c r="F72" s="1351">
        <v>8.9499999999999993</v>
      </c>
      <c r="G72" s="1342">
        <f>SUM(D72*E72*G46)</f>
        <v>57360</v>
      </c>
      <c r="H72" s="1345">
        <f>SUM(F72*G72)</f>
        <v>513371.99999999994</v>
      </c>
      <c r="I72" s="1340">
        <f>SUM(H72/G46)</f>
        <v>53.699999999999996</v>
      </c>
      <c r="J72" s="1422">
        <f t="shared" si="2"/>
        <v>1288.8</v>
      </c>
    </row>
    <row r="73" spans="1:10" x14ac:dyDescent="0.2">
      <c r="A73" s="1425" t="s">
        <v>1918</v>
      </c>
      <c r="B73" s="430" t="s">
        <v>1919</v>
      </c>
      <c r="C73" s="430" t="s">
        <v>1932</v>
      </c>
      <c r="D73" s="1355">
        <v>3</v>
      </c>
      <c r="E73" s="1343">
        <v>2</v>
      </c>
      <c r="F73" s="1351">
        <v>8.9499999999999993</v>
      </c>
      <c r="G73" s="1342">
        <f>SUM(D73*E73*G46)</f>
        <v>57360</v>
      </c>
      <c r="H73" s="1345">
        <f>SUM(F73*G73)</f>
        <v>513371.99999999994</v>
      </c>
      <c r="I73" s="1340">
        <f>SUM(H73/G46)</f>
        <v>53.699999999999996</v>
      </c>
      <c r="J73" s="1422">
        <f t="shared" si="2"/>
        <v>1288.8</v>
      </c>
    </row>
    <row r="74" spans="1:10" x14ac:dyDescent="0.2">
      <c r="A74" s="1426" t="s">
        <v>1920</v>
      </c>
      <c r="B74" s="430" t="s">
        <v>1921</v>
      </c>
      <c r="C74" s="430" t="s">
        <v>1909</v>
      </c>
      <c r="D74" s="1356">
        <v>20</v>
      </c>
      <c r="E74" s="1343">
        <v>4</v>
      </c>
      <c r="F74" s="1344">
        <v>5</v>
      </c>
      <c r="G74" s="1342">
        <f>SUM(D74*E74*G46)</f>
        <v>764800</v>
      </c>
      <c r="H74" s="1345">
        <f>SUM(F74*G74)</f>
        <v>3824000</v>
      </c>
      <c r="I74" s="1340">
        <f>SUM(H74/G46)</f>
        <v>400</v>
      </c>
      <c r="J74" s="1422">
        <f t="shared" si="2"/>
        <v>9600</v>
      </c>
    </row>
    <row r="75" spans="1:10" ht="13.5" thickBot="1" x14ac:dyDescent="0.25">
      <c r="A75" s="1958" t="s">
        <v>1922</v>
      </c>
      <c r="B75" s="1959"/>
      <c r="C75" s="1959"/>
      <c r="D75" s="1427"/>
      <c r="E75" s="1428">
        <f>SUM(E70:E73)</f>
        <v>7</v>
      </c>
      <c r="F75" s="1429"/>
      <c r="G75" s="1430">
        <f>SUM(G70:G73)</f>
        <v>248560</v>
      </c>
      <c r="H75" s="1430">
        <f>SUM(H70:H73)</f>
        <v>2224612</v>
      </c>
      <c r="I75" s="1428">
        <f>SUM(I70:I73)</f>
        <v>232.69999999999996</v>
      </c>
      <c r="J75" s="1431">
        <f>I75*3</f>
        <v>698.09999999999991</v>
      </c>
    </row>
  </sheetData>
  <mergeCells count="37">
    <mergeCell ref="A68:B68"/>
    <mergeCell ref="A69:C69"/>
    <mergeCell ref="A75:C75"/>
    <mergeCell ref="J25:J27"/>
    <mergeCell ref="J45:J47"/>
    <mergeCell ref="G45:H45"/>
    <mergeCell ref="G46:H46"/>
    <mergeCell ref="A56:B56"/>
    <mergeCell ref="A58:B58"/>
    <mergeCell ref="A62:B62"/>
    <mergeCell ref="A64:B64"/>
    <mergeCell ref="G26:I26"/>
    <mergeCell ref="A31:B31"/>
    <mergeCell ref="A34:B34"/>
    <mergeCell ref="A36:C36"/>
    <mergeCell ref="A40:C40"/>
    <mergeCell ref="A45:A47"/>
    <mergeCell ref="B45:B47"/>
    <mergeCell ref="D45:D47"/>
    <mergeCell ref="E45:E47"/>
    <mergeCell ref="F45:F47"/>
    <mergeCell ref="G5:I5"/>
    <mergeCell ref="G6:I6"/>
    <mergeCell ref="A16:C16"/>
    <mergeCell ref="A20:C20"/>
    <mergeCell ref="A25:A27"/>
    <mergeCell ref="B25:B27"/>
    <mergeCell ref="D25:D27"/>
    <mergeCell ref="E25:E27"/>
    <mergeCell ref="F25:F27"/>
    <mergeCell ref="G25:I25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showGridLines="0" workbookViewId="0">
      <selection sqref="A1:IV65536"/>
    </sheetView>
  </sheetViews>
  <sheetFormatPr baseColWidth="10" defaultRowHeight="12.75" x14ac:dyDescent="0.2"/>
  <cols>
    <col min="1" max="1" width="25.7109375" customWidth="1"/>
    <col min="2" max="2" width="18" style="1575" customWidth="1"/>
    <col min="3" max="3" width="10.85546875" style="1637" customWidth="1"/>
  </cols>
  <sheetData>
    <row r="1" spans="1:3" x14ac:dyDescent="0.2">
      <c r="A1" s="1989" t="s">
        <v>2021</v>
      </c>
      <c r="B1" s="1990"/>
      <c r="C1" s="1990"/>
    </row>
    <row r="2" spans="1:3" x14ac:dyDescent="0.2">
      <c r="A2" s="1989" t="s">
        <v>2022</v>
      </c>
      <c r="B2" s="1990"/>
      <c r="C2" s="1990"/>
    </row>
    <row r="3" spans="1:3" x14ac:dyDescent="0.2">
      <c r="A3" s="1989" t="s">
        <v>2023</v>
      </c>
      <c r="B3" s="1990"/>
      <c r="C3" s="1990"/>
    </row>
    <row r="4" spans="1:3" x14ac:dyDescent="0.2">
      <c r="A4" s="1991"/>
      <c r="B4" s="1991"/>
      <c r="C4" s="1991"/>
    </row>
    <row r="6" spans="1:3" x14ac:dyDescent="0.2">
      <c r="A6" s="430" t="s">
        <v>2026</v>
      </c>
      <c r="B6" s="412" t="s">
        <v>2024</v>
      </c>
      <c r="C6" s="1638">
        <v>12</v>
      </c>
    </row>
    <row r="7" spans="1:3" x14ac:dyDescent="0.2">
      <c r="A7" s="430" t="s">
        <v>2027</v>
      </c>
      <c r="B7" s="412" t="s">
        <v>2024</v>
      </c>
      <c r="C7" s="1638">
        <v>190</v>
      </c>
    </row>
    <row r="8" spans="1:3" x14ac:dyDescent="0.2">
      <c r="A8" s="430" t="s">
        <v>2028</v>
      </c>
      <c r="B8" s="412" t="s">
        <v>2025</v>
      </c>
      <c r="C8" s="1638">
        <v>35</v>
      </c>
    </row>
    <row r="9" spans="1:3" x14ac:dyDescent="0.2">
      <c r="A9" s="430" t="s">
        <v>2029</v>
      </c>
      <c r="B9" s="412" t="s">
        <v>2025</v>
      </c>
      <c r="C9" s="1638">
        <v>35</v>
      </c>
    </row>
    <row r="10" spans="1:3" x14ac:dyDescent="0.2">
      <c r="A10" s="430" t="s">
        <v>2030</v>
      </c>
      <c r="B10" s="412" t="s">
        <v>2025</v>
      </c>
      <c r="C10" s="1638">
        <v>525</v>
      </c>
    </row>
    <row r="11" spans="1:3" x14ac:dyDescent="0.2">
      <c r="A11" s="430" t="s">
        <v>2031</v>
      </c>
      <c r="B11" s="412" t="s">
        <v>2025</v>
      </c>
      <c r="C11" s="1638">
        <v>45</v>
      </c>
    </row>
    <row r="12" spans="1:3" x14ac:dyDescent="0.2">
      <c r="A12" s="430" t="s">
        <v>2032</v>
      </c>
      <c r="B12" s="412" t="s">
        <v>2025</v>
      </c>
      <c r="C12" s="1638">
        <v>525</v>
      </c>
    </row>
    <row r="13" spans="1:3" x14ac:dyDescent="0.2">
      <c r="A13" s="430" t="s">
        <v>2033</v>
      </c>
      <c r="B13" s="412" t="s">
        <v>2025</v>
      </c>
      <c r="C13" s="1638">
        <v>213.5</v>
      </c>
    </row>
    <row r="14" spans="1:3" x14ac:dyDescent="0.2">
      <c r="A14" s="1639" t="s">
        <v>2034</v>
      </c>
      <c r="B14" s="412" t="s">
        <v>2025</v>
      </c>
      <c r="C14" s="1638">
        <v>213.5</v>
      </c>
    </row>
    <row r="15" spans="1:3" x14ac:dyDescent="0.2">
      <c r="A15" s="430" t="s">
        <v>2035</v>
      </c>
      <c r="B15" s="412" t="s">
        <v>2025</v>
      </c>
      <c r="C15" s="1638">
        <v>525</v>
      </c>
    </row>
    <row r="16" spans="1:3" x14ac:dyDescent="0.2">
      <c r="A16" s="430" t="s">
        <v>2036</v>
      </c>
      <c r="B16" s="412" t="s">
        <v>2025</v>
      </c>
      <c r="C16" s="1638">
        <v>525</v>
      </c>
    </row>
    <row r="17" spans="1:3" x14ac:dyDescent="0.2">
      <c r="A17" s="430" t="s">
        <v>2037</v>
      </c>
      <c r="B17" s="412" t="s">
        <v>2025</v>
      </c>
      <c r="C17" s="1638">
        <v>525</v>
      </c>
    </row>
    <row r="18" spans="1:3" x14ac:dyDescent="0.2">
      <c r="A18" s="430" t="s">
        <v>2038</v>
      </c>
      <c r="B18" s="412" t="s">
        <v>2025</v>
      </c>
      <c r="C18" s="1638">
        <v>525</v>
      </c>
    </row>
    <row r="19" spans="1:3" x14ac:dyDescent="0.2">
      <c r="A19" s="430" t="s">
        <v>2039</v>
      </c>
      <c r="B19" s="412" t="s">
        <v>2025</v>
      </c>
      <c r="C19" s="1638">
        <v>210.55</v>
      </c>
    </row>
    <row r="21" spans="1:3" x14ac:dyDescent="0.2">
      <c r="A21" s="430" t="s">
        <v>2040</v>
      </c>
      <c r="B21" s="412" t="s">
        <v>292</v>
      </c>
      <c r="C21" s="1638">
        <v>30</v>
      </c>
    </row>
    <row r="22" spans="1:3" x14ac:dyDescent="0.2">
      <c r="A22" s="36" t="s">
        <v>2041</v>
      </c>
      <c r="B22" s="412" t="s">
        <v>292</v>
      </c>
      <c r="C22" s="1638">
        <v>30</v>
      </c>
    </row>
    <row r="23" spans="1:3" x14ac:dyDescent="0.2">
      <c r="A23" s="36" t="s">
        <v>2042</v>
      </c>
      <c r="B23" s="412" t="s">
        <v>292</v>
      </c>
      <c r="C23" s="1638">
        <v>30</v>
      </c>
    </row>
    <row r="24" spans="1:3" x14ac:dyDescent="0.2">
      <c r="A24" s="36" t="s">
        <v>2043</v>
      </c>
      <c r="B24" s="412" t="s">
        <v>292</v>
      </c>
      <c r="C24" s="1638">
        <v>30</v>
      </c>
    </row>
    <row r="25" spans="1:3" x14ac:dyDescent="0.2">
      <c r="A25" s="36" t="s">
        <v>2044</v>
      </c>
      <c r="B25" s="412" t="s">
        <v>292</v>
      </c>
      <c r="C25" s="1638">
        <v>30</v>
      </c>
    </row>
    <row r="27" spans="1:3" x14ac:dyDescent="0.2">
      <c r="A27" s="430" t="s">
        <v>980</v>
      </c>
      <c r="B27" s="412" t="s">
        <v>638</v>
      </c>
      <c r="C27" s="1638">
        <v>4.5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8"/>
  <sheetViews>
    <sheetView showGridLines="0" topLeftCell="A178" workbookViewId="0">
      <selection activeCell="A178" sqref="A1:IV65536"/>
    </sheetView>
  </sheetViews>
  <sheetFormatPr baseColWidth="10" defaultColWidth="10.85546875" defaultRowHeight="15" x14ac:dyDescent="0.2"/>
  <cols>
    <col min="1" max="1" width="47.42578125" style="5" customWidth="1"/>
    <col min="2" max="2" width="7.140625" style="1102" customWidth="1"/>
    <col min="3" max="3" width="14.42578125" style="1149" customWidth="1"/>
    <col min="4" max="16384" width="10.85546875" style="5"/>
  </cols>
  <sheetData>
    <row r="1" spans="1:3" x14ac:dyDescent="0.2">
      <c r="A1" s="80" t="s">
        <v>234</v>
      </c>
      <c r="B1" s="1171" t="s">
        <v>638</v>
      </c>
      <c r="C1" s="1172">
        <v>13.99</v>
      </c>
    </row>
    <row r="2" spans="1:3" ht="16.5" thickBot="1" x14ac:dyDescent="0.25">
      <c r="A2" s="1168" t="s">
        <v>970</v>
      </c>
      <c r="B2" s="1169" t="s">
        <v>226</v>
      </c>
      <c r="C2" s="1170" t="s">
        <v>227</v>
      </c>
    </row>
    <row r="3" spans="1:3" ht="16.5" thickBot="1" x14ac:dyDescent="0.25">
      <c r="A3" s="1995" t="s">
        <v>639</v>
      </c>
      <c r="B3" s="1996"/>
      <c r="C3" s="1997"/>
    </row>
    <row r="4" spans="1:3" ht="15.75" thickBot="1" x14ac:dyDescent="0.25">
      <c r="A4" s="1112" t="s">
        <v>1503</v>
      </c>
      <c r="B4" s="1113" t="s">
        <v>292</v>
      </c>
      <c r="C4" s="1150">
        <v>207.7</v>
      </c>
    </row>
    <row r="5" spans="1:3" ht="15.75" thickBot="1" x14ac:dyDescent="0.25">
      <c r="A5" s="1112" t="s">
        <v>1504</v>
      </c>
      <c r="B5" s="1113" t="s">
        <v>292</v>
      </c>
      <c r="C5" s="1150">
        <v>2213.6</v>
      </c>
    </row>
    <row r="6" spans="1:3" ht="15.75" thickBot="1" x14ac:dyDescent="0.25">
      <c r="A6" s="1112" t="s">
        <v>1505</v>
      </c>
      <c r="B6" s="1113" t="s">
        <v>292</v>
      </c>
      <c r="C6" s="1150">
        <v>258.33</v>
      </c>
    </row>
    <row r="7" spans="1:3" ht="15.75" thickBot="1" x14ac:dyDescent="0.25">
      <c r="A7" s="1112" t="s">
        <v>1506</v>
      </c>
      <c r="B7" s="1113" t="s">
        <v>292</v>
      </c>
      <c r="C7" s="1150">
        <v>310.33999999999997</v>
      </c>
    </row>
    <row r="8" spans="1:3" ht="15.75" thickBot="1" x14ac:dyDescent="0.25">
      <c r="A8" s="1112" t="s">
        <v>1507</v>
      </c>
      <c r="B8" s="1113" t="s">
        <v>292</v>
      </c>
      <c r="C8" s="1150">
        <v>236.44</v>
      </c>
    </row>
    <row r="9" spans="1:3" ht="15.75" thickBot="1" x14ac:dyDescent="0.25">
      <c r="A9" s="1112" t="s">
        <v>1508</v>
      </c>
      <c r="B9" s="1113" t="s">
        <v>292</v>
      </c>
      <c r="C9" s="1150">
        <v>752.41</v>
      </c>
    </row>
    <row r="10" spans="1:3" ht="15.75" thickBot="1" x14ac:dyDescent="0.25">
      <c r="A10" s="1112" t="s">
        <v>1509</v>
      </c>
      <c r="B10" s="1113" t="s">
        <v>292</v>
      </c>
      <c r="C10" s="1150">
        <v>752.41</v>
      </c>
    </row>
    <row r="11" spans="1:3" ht="15.75" thickBot="1" x14ac:dyDescent="0.25">
      <c r="A11" s="1112" t="s">
        <v>1510</v>
      </c>
      <c r="B11" s="1113" t="s">
        <v>292</v>
      </c>
      <c r="C11" s="1150">
        <v>752.41</v>
      </c>
    </row>
    <row r="12" spans="1:3" ht="15.75" thickBot="1" x14ac:dyDescent="0.25">
      <c r="A12" s="1112" t="s">
        <v>1511</v>
      </c>
      <c r="B12" s="1113" t="s">
        <v>292</v>
      </c>
      <c r="C12" s="1150">
        <v>7794.02</v>
      </c>
    </row>
    <row r="13" spans="1:3" ht="15.75" thickBot="1" x14ac:dyDescent="0.25">
      <c r="A13" s="1112" t="s">
        <v>1512</v>
      </c>
      <c r="B13" s="1113" t="s">
        <v>292</v>
      </c>
      <c r="C13" s="1150">
        <v>7794.02</v>
      </c>
    </row>
    <row r="14" spans="1:3" ht="15.75" thickBot="1" x14ac:dyDescent="0.25">
      <c r="A14" s="1112" t="s">
        <v>1513</v>
      </c>
      <c r="B14" s="1113" t="s">
        <v>292</v>
      </c>
      <c r="C14" s="1150">
        <v>800.31</v>
      </c>
    </row>
    <row r="15" spans="1:3" ht="15.75" thickBot="1" x14ac:dyDescent="0.25">
      <c r="A15" s="1112" t="s">
        <v>1514</v>
      </c>
      <c r="B15" s="1113" t="s">
        <v>292</v>
      </c>
      <c r="C15" s="1150">
        <v>229.59</v>
      </c>
    </row>
    <row r="16" spans="1:3" ht="15.75" thickBot="1" x14ac:dyDescent="0.25">
      <c r="A16" s="1112" t="s">
        <v>1515</v>
      </c>
      <c r="B16" s="1113" t="s">
        <v>292</v>
      </c>
      <c r="C16" s="1150">
        <v>252.86</v>
      </c>
    </row>
    <row r="17" spans="1:3" ht="15.75" thickBot="1" x14ac:dyDescent="0.25">
      <c r="A17" s="1112" t="s">
        <v>1516</v>
      </c>
      <c r="B17" s="1113" t="s">
        <v>292</v>
      </c>
      <c r="C17" s="1150">
        <v>263.81</v>
      </c>
    </row>
    <row r="18" spans="1:3" ht="15.75" thickBot="1" x14ac:dyDescent="0.25">
      <c r="A18" s="1112" t="s">
        <v>1517</v>
      </c>
      <c r="B18" s="1113" t="s">
        <v>292</v>
      </c>
      <c r="C18" s="1150">
        <v>263.81</v>
      </c>
    </row>
    <row r="19" spans="1:3" ht="15.75" thickBot="1" x14ac:dyDescent="0.25">
      <c r="A19" s="1112" t="s">
        <v>1518</v>
      </c>
      <c r="B19" s="1113" t="s">
        <v>292</v>
      </c>
      <c r="C19" s="1150">
        <v>230.96</v>
      </c>
    </row>
    <row r="20" spans="1:3" ht="15.75" thickBot="1" x14ac:dyDescent="0.25">
      <c r="A20" s="1112" t="s">
        <v>1519</v>
      </c>
      <c r="B20" s="1113" t="s">
        <v>292</v>
      </c>
      <c r="C20" s="1150">
        <v>1397.04</v>
      </c>
    </row>
    <row r="21" spans="1:3" ht="15.75" thickBot="1" x14ac:dyDescent="0.25">
      <c r="A21" s="1112" t="s">
        <v>1520</v>
      </c>
      <c r="B21" s="1113" t="s">
        <v>292</v>
      </c>
      <c r="C21" s="1150">
        <v>2832.73</v>
      </c>
    </row>
    <row r="22" spans="1:3" ht="15.75" thickBot="1" x14ac:dyDescent="0.25">
      <c r="A22" s="1112" t="s">
        <v>1521</v>
      </c>
      <c r="B22" s="1113" t="s">
        <v>292</v>
      </c>
      <c r="C22" s="1150">
        <v>2385.19</v>
      </c>
    </row>
    <row r="23" spans="1:3" ht="15.75" thickBot="1" x14ac:dyDescent="0.25">
      <c r="A23" s="1112" t="s">
        <v>1522</v>
      </c>
      <c r="B23" s="1113" t="s">
        <v>292</v>
      </c>
      <c r="C23" s="1150">
        <v>1525.69</v>
      </c>
    </row>
    <row r="24" spans="1:3" ht="15.75" thickBot="1" x14ac:dyDescent="0.25">
      <c r="A24" s="1112" t="s">
        <v>1523</v>
      </c>
      <c r="B24" s="1113" t="s">
        <v>292</v>
      </c>
      <c r="C24" s="1150">
        <v>9135.2800000000007</v>
      </c>
    </row>
    <row r="25" spans="1:3" ht="15.75" thickBot="1" x14ac:dyDescent="0.25">
      <c r="A25" s="1112" t="s">
        <v>1524</v>
      </c>
      <c r="B25" s="1113" t="s">
        <v>292</v>
      </c>
      <c r="C25" s="1150">
        <v>2524.79</v>
      </c>
    </row>
    <row r="26" spans="1:3" ht="15.75" thickBot="1" x14ac:dyDescent="0.25">
      <c r="A26" s="1112" t="s">
        <v>1525</v>
      </c>
      <c r="B26" s="1113" t="s">
        <v>292</v>
      </c>
      <c r="C26" s="1150">
        <v>2617.85</v>
      </c>
    </row>
    <row r="27" spans="1:3" ht="15.75" thickBot="1" x14ac:dyDescent="0.25">
      <c r="A27" s="1112" t="s">
        <v>1526</v>
      </c>
      <c r="B27" s="1113" t="s">
        <v>292</v>
      </c>
      <c r="C27" s="1150">
        <v>1312.18</v>
      </c>
    </row>
    <row r="28" spans="1:3" ht="15.75" thickBot="1" x14ac:dyDescent="0.25">
      <c r="A28" s="1112" t="s">
        <v>1527</v>
      </c>
      <c r="B28" s="1113" t="s">
        <v>292</v>
      </c>
      <c r="C28" s="1150">
        <v>68561.240000000005</v>
      </c>
    </row>
    <row r="29" spans="1:3" ht="15.75" thickBot="1" x14ac:dyDescent="0.25">
      <c r="A29" s="1112" t="s">
        <v>1528</v>
      </c>
      <c r="B29" s="1113" t="s">
        <v>292</v>
      </c>
      <c r="C29" s="1150">
        <v>1397.04</v>
      </c>
    </row>
    <row r="30" spans="1:3" ht="15.75" thickBot="1" x14ac:dyDescent="0.25">
      <c r="A30" s="1112" t="s">
        <v>1529</v>
      </c>
      <c r="B30" s="1113" t="s">
        <v>292</v>
      </c>
      <c r="C30" s="1150">
        <v>2617.85</v>
      </c>
    </row>
    <row r="31" spans="1:3" ht="15.75" thickBot="1" x14ac:dyDescent="0.25">
      <c r="A31" s="1112" t="s">
        <v>1530</v>
      </c>
      <c r="B31" s="1113" t="s">
        <v>292</v>
      </c>
      <c r="C31" s="1150">
        <v>2568.58</v>
      </c>
    </row>
    <row r="32" spans="1:3" ht="15.75" thickBot="1" x14ac:dyDescent="0.25">
      <c r="A32" s="1112" t="s">
        <v>1531</v>
      </c>
      <c r="B32" s="1113" t="s">
        <v>292</v>
      </c>
      <c r="C32" s="1150">
        <v>742.73</v>
      </c>
    </row>
    <row r="33" spans="1:3" ht="15.75" thickBot="1" x14ac:dyDescent="0.25">
      <c r="A33" s="1112" t="s">
        <v>1532</v>
      </c>
      <c r="B33" s="1113" t="s">
        <v>292</v>
      </c>
      <c r="C33" s="1150">
        <v>385.21</v>
      </c>
    </row>
    <row r="34" spans="1:3" ht="15.75" thickBot="1" x14ac:dyDescent="0.25">
      <c r="A34" s="1112" t="s">
        <v>1533</v>
      </c>
      <c r="B34" s="1113" t="s">
        <v>292</v>
      </c>
      <c r="C34" s="1150">
        <v>5555.55</v>
      </c>
    </row>
    <row r="35" spans="1:3" ht="15.75" thickBot="1" x14ac:dyDescent="0.25">
      <c r="A35" s="1112" t="s">
        <v>1534</v>
      </c>
      <c r="B35" s="1113" t="s">
        <v>292</v>
      </c>
      <c r="C35" s="1150">
        <v>2117.8200000000002</v>
      </c>
    </row>
    <row r="36" spans="1:3" ht="15.75" thickBot="1" x14ac:dyDescent="0.25">
      <c r="A36" s="1112" t="s">
        <v>1535</v>
      </c>
      <c r="B36" s="1113" t="s">
        <v>292</v>
      </c>
      <c r="C36" s="1150">
        <v>412.71</v>
      </c>
    </row>
    <row r="37" spans="1:3" ht="15.75" thickBot="1" x14ac:dyDescent="0.25">
      <c r="A37" s="1112" t="s">
        <v>1536</v>
      </c>
      <c r="B37" s="1113" t="s">
        <v>292</v>
      </c>
      <c r="C37" s="1150">
        <v>803905.76</v>
      </c>
    </row>
    <row r="38" spans="1:3" ht="15.75" thickBot="1" x14ac:dyDescent="0.25">
      <c r="A38" s="1112" t="s">
        <v>1537</v>
      </c>
      <c r="B38" s="1113" t="s">
        <v>292</v>
      </c>
      <c r="C38" s="1150">
        <v>819822.37</v>
      </c>
    </row>
    <row r="39" spans="1:3" ht="15.75" thickBot="1" x14ac:dyDescent="0.25">
      <c r="A39" s="1112" t="s">
        <v>1538</v>
      </c>
      <c r="B39" s="1113" t="s">
        <v>292</v>
      </c>
      <c r="C39" s="1150">
        <v>622176.57999999996</v>
      </c>
    </row>
    <row r="40" spans="1:3" ht="15.75" thickBot="1" x14ac:dyDescent="0.25">
      <c r="A40" s="1114" t="s">
        <v>1539</v>
      </c>
      <c r="B40" s="1115" t="s">
        <v>292</v>
      </c>
      <c r="C40" s="1151">
        <v>440787.16</v>
      </c>
    </row>
    <row r="41" spans="1:3" ht="15.75" thickBot="1" x14ac:dyDescent="0.25">
      <c r="A41" s="1116" t="s">
        <v>1540</v>
      </c>
      <c r="B41" s="1117" t="s">
        <v>292</v>
      </c>
      <c r="C41" s="1152">
        <v>200050.86</v>
      </c>
    </row>
    <row r="42" spans="1:3" ht="15.75" thickBot="1" x14ac:dyDescent="0.25">
      <c r="A42" s="1116" t="s">
        <v>1541</v>
      </c>
      <c r="B42" s="1117" t="s">
        <v>292</v>
      </c>
      <c r="C42" s="1152">
        <v>388.78</v>
      </c>
    </row>
    <row r="43" spans="1:3" x14ac:dyDescent="0.2">
      <c r="A43" s="1118" t="s">
        <v>1542</v>
      </c>
      <c r="B43" s="1998" t="s">
        <v>292</v>
      </c>
      <c r="C43" s="2000">
        <v>493.07</v>
      </c>
    </row>
    <row r="44" spans="1:3" ht="15.75" thickBot="1" x14ac:dyDescent="0.25">
      <c r="A44" s="1116" t="s">
        <v>1543</v>
      </c>
      <c r="B44" s="1999"/>
      <c r="C44" s="2001"/>
    </row>
    <row r="45" spans="1:3" ht="15.75" thickBot="1" x14ac:dyDescent="0.25">
      <c r="A45" s="1116" t="s">
        <v>1544</v>
      </c>
      <c r="B45" s="1117" t="s">
        <v>292</v>
      </c>
      <c r="C45" s="1152">
        <v>440.92</v>
      </c>
    </row>
    <row r="46" spans="1:3" ht="15.75" thickBot="1" x14ac:dyDescent="0.25">
      <c r="A46" s="1116" t="s">
        <v>1545</v>
      </c>
      <c r="B46" s="1117" t="s">
        <v>292</v>
      </c>
      <c r="C46" s="1152">
        <v>336.63</v>
      </c>
    </row>
    <row r="47" spans="1:3" ht="15.75" thickBot="1" x14ac:dyDescent="0.25">
      <c r="A47" s="1116" t="s">
        <v>1546</v>
      </c>
      <c r="B47" s="1117" t="s">
        <v>437</v>
      </c>
      <c r="C47" s="1152">
        <v>12664.32</v>
      </c>
    </row>
    <row r="48" spans="1:3" ht="16.5" thickBot="1" x14ac:dyDescent="0.25">
      <c r="A48" s="2002" t="s">
        <v>816</v>
      </c>
      <c r="B48" s="2003"/>
      <c r="C48" s="2004"/>
    </row>
    <row r="49" spans="1:3" ht="15.75" thickBot="1" x14ac:dyDescent="0.25">
      <c r="A49" s="1119" t="s">
        <v>284</v>
      </c>
      <c r="B49" s="1120" t="s">
        <v>437</v>
      </c>
      <c r="C49" s="1153">
        <v>6519.33</v>
      </c>
    </row>
    <row r="50" spans="1:3" ht="15.75" thickBot="1" x14ac:dyDescent="0.25">
      <c r="A50" s="1119" t="s">
        <v>833</v>
      </c>
      <c r="B50" s="1120" t="s">
        <v>437</v>
      </c>
      <c r="C50" s="1153">
        <v>6969.33</v>
      </c>
    </row>
    <row r="51" spans="1:3" ht="15.75" thickBot="1" x14ac:dyDescent="0.25">
      <c r="A51" s="1119" t="s">
        <v>879</v>
      </c>
      <c r="B51" s="1120" t="s">
        <v>437</v>
      </c>
      <c r="C51" s="1153">
        <v>9702.64</v>
      </c>
    </row>
    <row r="52" spans="1:3" ht="15.75" thickBot="1" x14ac:dyDescent="0.25">
      <c r="A52" s="1119" t="s">
        <v>1547</v>
      </c>
      <c r="B52" s="1120" t="s">
        <v>437</v>
      </c>
      <c r="C52" s="1153">
        <v>6977.95</v>
      </c>
    </row>
    <row r="53" spans="1:3" ht="15.75" thickBot="1" x14ac:dyDescent="0.25">
      <c r="A53" s="1119" t="s">
        <v>877</v>
      </c>
      <c r="B53" s="1120" t="s">
        <v>437</v>
      </c>
      <c r="C53" s="1153">
        <v>19788</v>
      </c>
    </row>
    <row r="54" spans="1:3" ht="15.75" thickBot="1" x14ac:dyDescent="0.25">
      <c r="A54" s="1119" t="s">
        <v>1548</v>
      </c>
      <c r="B54" s="1120" t="s">
        <v>437</v>
      </c>
      <c r="C54" s="1153">
        <v>10708.8</v>
      </c>
    </row>
    <row r="55" spans="1:3" ht="15.75" thickBot="1" x14ac:dyDescent="0.25">
      <c r="A55" s="1119" t="s">
        <v>1549</v>
      </c>
      <c r="B55" s="1120" t="s">
        <v>437</v>
      </c>
      <c r="C55" s="1153">
        <v>24676.799999999999</v>
      </c>
    </row>
    <row r="56" spans="1:3" ht="15.75" thickBot="1" x14ac:dyDescent="0.25">
      <c r="A56" s="1119" t="s">
        <v>876</v>
      </c>
      <c r="B56" s="1120" t="s">
        <v>437</v>
      </c>
      <c r="C56" s="1153">
        <v>23022.99</v>
      </c>
    </row>
    <row r="57" spans="1:3" ht="15.75" thickBot="1" x14ac:dyDescent="0.25">
      <c r="A57" s="1119" t="s">
        <v>1550</v>
      </c>
      <c r="B57" s="1120" t="s">
        <v>437</v>
      </c>
      <c r="C57" s="1153">
        <v>30704.92</v>
      </c>
    </row>
    <row r="58" spans="1:3" ht="15.75" thickBot="1" x14ac:dyDescent="0.25">
      <c r="A58" s="1119" t="s">
        <v>1551</v>
      </c>
      <c r="B58" s="1120" t="s">
        <v>437</v>
      </c>
      <c r="C58" s="1153">
        <v>30704.92</v>
      </c>
    </row>
    <row r="59" spans="1:3" ht="15.75" thickBot="1" x14ac:dyDescent="0.25">
      <c r="A59" s="1119" t="s">
        <v>1552</v>
      </c>
      <c r="B59" s="1120" t="s">
        <v>437</v>
      </c>
      <c r="C59" s="1153">
        <v>32592</v>
      </c>
    </row>
    <row r="60" spans="1:3" ht="15.75" thickBot="1" x14ac:dyDescent="0.25">
      <c r="A60" s="1119" t="s">
        <v>1553</v>
      </c>
      <c r="B60" s="1120" t="s">
        <v>437</v>
      </c>
      <c r="C60" s="1153">
        <v>45396</v>
      </c>
    </row>
    <row r="61" spans="1:3" ht="15.75" thickBot="1" x14ac:dyDescent="0.25">
      <c r="A61" s="1119" t="s">
        <v>848</v>
      </c>
      <c r="B61" s="1120" t="s">
        <v>437</v>
      </c>
      <c r="C61" s="1153">
        <v>28129.22</v>
      </c>
    </row>
    <row r="62" spans="1:3" ht="15.75" thickBot="1" x14ac:dyDescent="0.25">
      <c r="A62" s="1119" t="s">
        <v>1554</v>
      </c>
      <c r="B62" s="1120" t="s">
        <v>437</v>
      </c>
      <c r="C62" s="1153">
        <v>13973.12</v>
      </c>
    </row>
    <row r="63" spans="1:3" ht="15.75" thickBot="1" x14ac:dyDescent="0.25">
      <c r="A63" s="1119" t="s">
        <v>1555</v>
      </c>
      <c r="B63" s="1120" t="s">
        <v>437</v>
      </c>
      <c r="C63" s="1153">
        <v>14387.51</v>
      </c>
    </row>
    <row r="64" spans="1:3" ht="15.75" thickBot="1" x14ac:dyDescent="0.25">
      <c r="A64" s="1119" t="s">
        <v>1556</v>
      </c>
      <c r="B64" s="1120" t="s">
        <v>437</v>
      </c>
      <c r="C64" s="1153">
        <v>30264</v>
      </c>
    </row>
    <row r="65" spans="1:3" ht="15.75" thickBot="1" x14ac:dyDescent="0.25">
      <c r="A65" s="1119" t="s">
        <v>1557</v>
      </c>
      <c r="B65" s="1120" t="s">
        <v>437</v>
      </c>
      <c r="C65" s="1153">
        <v>67512</v>
      </c>
    </row>
    <row r="66" spans="1:3" ht="15.75" thickBot="1" x14ac:dyDescent="0.25">
      <c r="A66" s="1119" t="s">
        <v>1558</v>
      </c>
      <c r="B66" s="1120" t="s">
        <v>437</v>
      </c>
      <c r="C66" s="1153">
        <v>230472</v>
      </c>
    </row>
    <row r="67" spans="1:3" ht="15.75" thickBot="1" x14ac:dyDescent="0.25">
      <c r="A67" s="1119" t="s">
        <v>1559</v>
      </c>
      <c r="B67" s="1120" t="s">
        <v>437</v>
      </c>
      <c r="C67" s="1153">
        <v>4366.8599999999997</v>
      </c>
    </row>
    <row r="68" spans="1:3" ht="15.75" thickBot="1" x14ac:dyDescent="0.25">
      <c r="A68" s="1119" t="s">
        <v>860</v>
      </c>
      <c r="B68" s="1120" t="s">
        <v>437</v>
      </c>
      <c r="C68" s="1153">
        <v>10084.66</v>
      </c>
    </row>
    <row r="69" spans="1:3" ht="15.75" thickBot="1" x14ac:dyDescent="0.25">
      <c r="A69" s="1119" t="s">
        <v>1560</v>
      </c>
      <c r="B69" s="1120" t="s">
        <v>437</v>
      </c>
      <c r="C69" s="1153">
        <v>12922.26</v>
      </c>
    </row>
    <row r="70" spans="1:3" ht="15.75" thickBot="1" x14ac:dyDescent="0.25">
      <c r="A70" s="1119" t="s">
        <v>849</v>
      </c>
      <c r="B70" s="1120" t="s">
        <v>437</v>
      </c>
      <c r="C70" s="1153">
        <v>14682.93</v>
      </c>
    </row>
    <row r="71" spans="1:3" ht="15.75" thickBot="1" x14ac:dyDescent="0.25">
      <c r="A71" s="1119" t="s">
        <v>1561</v>
      </c>
      <c r="B71" s="1120" t="s">
        <v>437</v>
      </c>
      <c r="C71" s="1153">
        <v>15077.06</v>
      </c>
    </row>
    <row r="72" spans="1:3" ht="15.75" thickBot="1" x14ac:dyDescent="0.25">
      <c r="A72" s="1119" t="s">
        <v>859</v>
      </c>
      <c r="B72" s="1120" t="s">
        <v>437</v>
      </c>
      <c r="C72" s="1153">
        <v>25142.400000000001</v>
      </c>
    </row>
    <row r="73" spans="1:3" ht="15.75" thickBot="1" x14ac:dyDescent="0.25">
      <c r="A73" s="1119" t="s">
        <v>1562</v>
      </c>
      <c r="B73" s="1120" t="s">
        <v>437</v>
      </c>
      <c r="C73" s="1153">
        <v>39230.29</v>
      </c>
    </row>
    <row r="74" spans="1:3" ht="15.75" thickBot="1" x14ac:dyDescent="0.25">
      <c r="A74" s="1119" t="s">
        <v>1563</v>
      </c>
      <c r="B74" s="1120" t="s">
        <v>437</v>
      </c>
      <c r="C74" s="1153">
        <v>14433.6</v>
      </c>
    </row>
    <row r="75" spans="1:3" ht="15.75" thickBot="1" x14ac:dyDescent="0.25">
      <c r="A75" s="1119" t="s">
        <v>1564</v>
      </c>
      <c r="B75" s="1120" t="s">
        <v>437</v>
      </c>
      <c r="C75" s="1153">
        <v>13973.12</v>
      </c>
    </row>
    <row r="76" spans="1:3" ht="15.75" thickBot="1" x14ac:dyDescent="0.25">
      <c r="A76" s="1119" t="s">
        <v>1565</v>
      </c>
      <c r="B76" s="1120" t="s">
        <v>437</v>
      </c>
      <c r="C76" s="1153">
        <v>265159.2</v>
      </c>
    </row>
    <row r="77" spans="1:3" ht="15.75" thickBot="1" x14ac:dyDescent="0.25">
      <c r="A77" s="1119" t="s">
        <v>1566</v>
      </c>
      <c r="B77" s="1120" t="s">
        <v>437</v>
      </c>
      <c r="C77" s="1153">
        <v>256080</v>
      </c>
    </row>
    <row r="78" spans="1:3" ht="15.75" thickBot="1" x14ac:dyDescent="0.25">
      <c r="A78" s="1119" t="s">
        <v>1567</v>
      </c>
      <c r="B78" s="1120" t="s">
        <v>437</v>
      </c>
      <c r="C78" s="1153">
        <v>231636</v>
      </c>
    </row>
    <row r="79" spans="1:3" ht="15.75" thickBot="1" x14ac:dyDescent="0.25">
      <c r="A79" s="1119" t="s">
        <v>1568</v>
      </c>
      <c r="B79" s="1120" t="s">
        <v>437</v>
      </c>
      <c r="C79" s="1153">
        <v>209520</v>
      </c>
    </row>
    <row r="80" spans="1:3" ht="15.75" thickBot="1" x14ac:dyDescent="0.25">
      <c r="A80" s="1119" t="s">
        <v>1569</v>
      </c>
      <c r="B80" s="1120" t="s">
        <v>437</v>
      </c>
      <c r="C80" s="1153">
        <v>1117440</v>
      </c>
    </row>
    <row r="81" spans="1:3" ht="15.75" thickBot="1" x14ac:dyDescent="0.25">
      <c r="A81" s="1119" t="s">
        <v>1570</v>
      </c>
      <c r="B81" s="1120" t="s">
        <v>437</v>
      </c>
      <c r="C81" s="1153">
        <v>152716.79999999999</v>
      </c>
    </row>
    <row r="82" spans="1:3" ht="15.75" thickBot="1" x14ac:dyDescent="0.25">
      <c r="A82" s="1119" t="s">
        <v>1571</v>
      </c>
      <c r="B82" s="1120" t="s">
        <v>437</v>
      </c>
      <c r="C82" s="1153">
        <v>105924</v>
      </c>
    </row>
    <row r="83" spans="1:3" ht="15.75" thickBot="1" x14ac:dyDescent="0.25">
      <c r="A83" s="1119" t="s">
        <v>1572</v>
      </c>
      <c r="B83" s="1120" t="s">
        <v>437</v>
      </c>
      <c r="C83" s="1153">
        <v>81480</v>
      </c>
    </row>
    <row r="84" spans="1:3" ht="15.75" thickBot="1" x14ac:dyDescent="0.25">
      <c r="A84" s="1119" t="s">
        <v>1573</v>
      </c>
      <c r="B84" s="1120" t="s">
        <v>437</v>
      </c>
      <c r="C84" s="1153">
        <v>75892.800000000003</v>
      </c>
    </row>
    <row r="85" spans="1:3" ht="15.75" thickBot="1" x14ac:dyDescent="0.25">
      <c r="A85" s="1119" t="s">
        <v>1574</v>
      </c>
      <c r="B85" s="1120" t="s">
        <v>437</v>
      </c>
      <c r="C85" s="1153">
        <v>76824</v>
      </c>
    </row>
    <row r="86" spans="1:3" ht="15.75" thickBot="1" x14ac:dyDescent="0.25">
      <c r="A86" s="1119" t="s">
        <v>1575</v>
      </c>
      <c r="B86" s="1120" t="s">
        <v>437</v>
      </c>
      <c r="C86" s="1153">
        <v>69840</v>
      </c>
    </row>
    <row r="87" spans="1:3" ht="15.75" thickBot="1" x14ac:dyDescent="0.25">
      <c r="A87" s="1119" t="s">
        <v>1576</v>
      </c>
      <c r="B87" s="1120" t="s">
        <v>437</v>
      </c>
      <c r="C87" s="1153">
        <v>147828</v>
      </c>
    </row>
    <row r="88" spans="1:3" ht="15.75" thickBot="1" x14ac:dyDescent="0.25">
      <c r="A88" s="1119" t="s">
        <v>1577</v>
      </c>
      <c r="B88" s="1120" t="s">
        <v>437</v>
      </c>
      <c r="C88" s="1153">
        <v>144801.60000000001</v>
      </c>
    </row>
    <row r="89" spans="1:3" ht="15.75" thickBot="1" x14ac:dyDescent="0.25">
      <c r="A89" s="1119" t="s">
        <v>1578</v>
      </c>
      <c r="B89" s="1120" t="s">
        <v>437</v>
      </c>
      <c r="C89" s="1153">
        <v>74263.199999999997</v>
      </c>
    </row>
    <row r="90" spans="1:3" ht="15.75" thickBot="1" x14ac:dyDescent="0.25">
      <c r="A90" s="1119" t="s">
        <v>1579</v>
      </c>
      <c r="B90" s="1120" t="s">
        <v>437</v>
      </c>
      <c r="C90" s="1153">
        <v>27936</v>
      </c>
    </row>
    <row r="91" spans="1:3" ht="15.75" thickBot="1" x14ac:dyDescent="0.25">
      <c r="A91" s="1119" t="s">
        <v>1580</v>
      </c>
      <c r="B91" s="1120" t="s">
        <v>437</v>
      </c>
      <c r="C91" s="1153">
        <v>39230.29</v>
      </c>
    </row>
    <row r="92" spans="1:3" ht="15.75" thickBot="1" x14ac:dyDescent="0.25">
      <c r="A92" s="1119" t="s">
        <v>1581</v>
      </c>
      <c r="B92" s="1120" t="s">
        <v>437</v>
      </c>
      <c r="C92" s="1153">
        <v>25375.200000000001</v>
      </c>
    </row>
    <row r="93" spans="1:3" ht="15.75" thickBot="1" x14ac:dyDescent="0.25">
      <c r="A93" s="1119" t="s">
        <v>1582</v>
      </c>
      <c r="B93" s="1120" t="s">
        <v>437</v>
      </c>
      <c r="C93" s="1153">
        <v>13973.12</v>
      </c>
    </row>
    <row r="94" spans="1:3" ht="15.75" thickBot="1" x14ac:dyDescent="0.25">
      <c r="A94" s="1119" t="s">
        <v>1583</v>
      </c>
      <c r="B94" s="1120" t="s">
        <v>437</v>
      </c>
      <c r="C94" s="1153">
        <v>11640</v>
      </c>
    </row>
    <row r="95" spans="1:3" ht="16.5" thickBot="1" x14ac:dyDescent="0.25">
      <c r="A95" s="2005" t="s">
        <v>1584</v>
      </c>
      <c r="B95" s="2006"/>
      <c r="C95" s="2007"/>
    </row>
    <row r="96" spans="1:3" ht="15.75" thickBot="1" x14ac:dyDescent="0.25">
      <c r="A96" s="1121" t="s">
        <v>1585</v>
      </c>
      <c r="B96" s="1122" t="s">
        <v>437</v>
      </c>
      <c r="C96" s="1154">
        <v>90093.6</v>
      </c>
    </row>
    <row r="97" spans="1:3" ht="15.75" thickBot="1" x14ac:dyDescent="0.25">
      <c r="A97" s="1121" t="s">
        <v>1586</v>
      </c>
      <c r="B97" s="1122" t="s">
        <v>437</v>
      </c>
      <c r="C97" s="1154">
        <v>131997.6</v>
      </c>
    </row>
    <row r="98" spans="1:3" ht="15.75" thickBot="1" x14ac:dyDescent="0.25">
      <c r="A98" s="1121" t="s">
        <v>1587</v>
      </c>
      <c r="B98" s="1122" t="s">
        <v>437</v>
      </c>
      <c r="C98" s="1154">
        <v>596899.19999999995</v>
      </c>
    </row>
    <row r="99" spans="1:3" ht="15.75" thickBot="1" x14ac:dyDescent="0.25">
      <c r="A99" s="1121" t="s">
        <v>1588</v>
      </c>
      <c r="B99" s="1122" t="s">
        <v>437</v>
      </c>
      <c r="C99" s="1154">
        <v>625999.19999999995</v>
      </c>
    </row>
    <row r="100" spans="1:3" ht="15.75" thickBot="1" x14ac:dyDescent="0.25">
      <c r="A100" s="1121" t="s">
        <v>1589</v>
      </c>
      <c r="B100" s="1122" t="s">
        <v>437</v>
      </c>
      <c r="C100" s="1154">
        <v>273772.79999999999</v>
      </c>
    </row>
    <row r="101" spans="1:3" ht="15.75" thickBot="1" x14ac:dyDescent="0.25">
      <c r="A101" s="1121" t="s">
        <v>1590</v>
      </c>
      <c r="B101" s="1122" t="s">
        <v>437</v>
      </c>
      <c r="C101" s="1154">
        <v>110580</v>
      </c>
    </row>
    <row r="102" spans="1:3" ht="15.75" thickBot="1" x14ac:dyDescent="0.25">
      <c r="A102" s="1121" t="s">
        <v>1591</v>
      </c>
      <c r="B102" s="1122" t="s">
        <v>437</v>
      </c>
      <c r="C102" s="1154">
        <v>110580</v>
      </c>
    </row>
    <row r="103" spans="1:3" ht="15.75" thickBot="1" x14ac:dyDescent="0.25">
      <c r="A103" s="1121" t="s">
        <v>1592</v>
      </c>
      <c r="B103" s="1122" t="s">
        <v>437</v>
      </c>
      <c r="C103" s="1154">
        <v>114537.60000000001</v>
      </c>
    </row>
    <row r="104" spans="1:3" ht="15.75" thickBot="1" x14ac:dyDescent="0.25">
      <c r="A104" s="1121" t="s">
        <v>1593</v>
      </c>
      <c r="B104" s="1122" t="s">
        <v>437</v>
      </c>
      <c r="C104" s="1154">
        <v>112675.2</v>
      </c>
    </row>
    <row r="105" spans="1:3" ht="15.75" thickBot="1" x14ac:dyDescent="0.25">
      <c r="A105" s="1121" t="s">
        <v>1594</v>
      </c>
      <c r="B105" s="1122" t="s">
        <v>437</v>
      </c>
      <c r="C105" s="1154">
        <v>214176</v>
      </c>
    </row>
    <row r="106" spans="1:3" ht="15.75" thickBot="1" x14ac:dyDescent="0.25">
      <c r="A106" s="1121" t="s">
        <v>844</v>
      </c>
      <c r="B106" s="1122" t="s">
        <v>437</v>
      </c>
      <c r="C106" s="1154">
        <v>629025.6</v>
      </c>
    </row>
    <row r="107" spans="1:3" ht="15.75" thickBot="1" x14ac:dyDescent="0.25">
      <c r="A107" s="1121" t="s">
        <v>1595</v>
      </c>
      <c r="B107" s="1122" t="s">
        <v>437</v>
      </c>
      <c r="C107" s="1154">
        <v>295656</v>
      </c>
    </row>
    <row r="108" spans="1:3" ht="15.75" thickBot="1" x14ac:dyDescent="0.25">
      <c r="A108" s="1121" t="s">
        <v>1596</v>
      </c>
      <c r="B108" s="1122" t="s">
        <v>437</v>
      </c>
      <c r="C108" s="1154">
        <v>143870.39999999999</v>
      </c>
    </row>
    <row r="109" spans="1:3" ht="15.75" thickBot="1" x14ac:dyDescent="0.25">
      <c r="A109" s="1121" t="s">
        <v>1597</v>
      </c>
      <c r="B109" s="1122" t="s">
        <v>437</v>
      </c>
      <c r="C109" s="1154">
        <v>65649.600000000006</v>
      </c>
    </row>
    <row r="110" spans="1:3" ht="15.75" thickBot="1" x14ac:dyDescent="0.25">
      <c r="A110" s="1121" t="s">
        <v>1598</v>
      </c>
      <c r="B110" s="1122" t="s">
        <v>437</v>
      </c>
      <c r="C110" s="1154">
        <v>214176</v>
      </c>
    </row>
    <row r="111" spans="1:3" ht="15.75" thickBot="1" x14ac:dyDescent="0.25">
      <c r="A111" s="1121" t="s">
        <v>1599</v>
      </c>
      <c r="B111" s="1122" t="s">
        <v>437</v>
      </c>
      <c r="C111" s="1154">
        <v>131997.6</v>
      </c>
    </row>
    <row r="112" spans="1:3" ht="15.75" thickBot="1" x14ac:dyDescent="0.25">
      <c r="A112" s="1121" t="s">
        <v>1600</v>
      </c>
      <c r="B112" s="1122" t="s">
        <v>437</v>
      </c>
      <c r="C112" s="1154">
        <v>67977.600000000006</v>
      </c>
    </row>
    <row r="113" spans="1:3" ht="15.75" thickBot="1" x14ac:dyDescent="0.25">
      <c r="A113" s="1121" t="s">
        <v>1601</v>
      </c>
      <c r="B113" s="1122" t="s">
        <v>437</v>
      </c>
      <c r="C113" s="1154">
        <v>629025.6</v>
      </c>
    </row>
    <row r="114" spans="1:3" ht="15.75" thickBot="1" x14ac:dyDescent="0.25">
      <c r="A114" s="1121" t="s">
        <v>1602</v>
      </c>
      <c r="B114" s="1122" t="s">
        <v>437</v>
      </c>
      <c r="C114" s="1154">
        <v>11943.8</v>
      </c>
    </row>
    <row r="115" spans="1:3" ht="15.75" thickBot="1" x14ac:dyDescent="0.25">
      <c r="A115" s="1121" t="s">
        <v>1603</v>
      </c>
      <c r="B115" s="1122" t="s">
        <v>437</v>
      </c>
      <c r="C115" s="1154">
        <v>11413.25</v>
      </c>
    </row>
    <row r="116" spans="1:3" ht="15.75" thickBot="1" x14ac:dyDescent="0.25">
      <c r="A116" s="1121" t="s">
        <v>1604</v>
      </c>
      <c r="B116" s="1122" t="s">
        <v>437</v>
      </c>
      <c r="C116" s="1154">
        <v>110580</v>
      </c>
    </row>
    <row r="117" spans="1:3" ht="15.75" thickBot="1" x14ac:dyDescent="0.25">
      <c r="A117" s="1121" t="s">
        <v>1605</v>
      </c>
      <c r="B117" s="1122" t="s">
        <v>437</v>
      </c>
      <c r="C117" s="1154">
        <v>60760.800000000003</v>
      </c>
    </row>
    <row r="118" spans="1:3" ht="15.75" thickBot="1" x14ac:dyDescent="0.25">
      <c r="A118" s="1121" t="s">
        <v>1606</v>
      </c>
      <c r="B118" s="1122" t="s">
        <v>437</v>
      </c>
      <c r="C118" s="1154">
        <v>23047.200000000001</v>
      </c>
    </row>
    <row r="119" spans="1:3" ht="15.75" thickBot="1" x14ac:dyDescent="0.25">
      <c r="A119" s="1123" t="s">
        <v>1607</v>
      </c>
      <c r="B119" s="1122" t="s">
        <v>437</v>
      </c>
      <c r="C119" s="1154">
        <v>67977.600000000006</v>
      </c>
    </row>
    <row r="120" spans="1:3" ht="15.75" thickBot="1" x14ac:dyDescent="0.25">
      <c r="A120" s="1992" t="s">
        <v>1608</v>
      </c>
      <c r="B120" s="1993"/>
      <c r="C120" s="1994"/>
    </row>
    <row r="121" spans="1:3" ht="15.75" thickBot="1" x14ac:dyDescent="0.25">
      <c r="A121" s="1124" t="s">
        <v>853</v>
      </c>
      <c r="B121" s="1125" t="s">
        <v>437</v>
      </c>
      <c r="C121" s="1155">
        <v>8602.19</v>
      </c>
    </row>
    <row r="122" spans="1:3" ht="15.75" thickBot="1" x14ac:dyDescent="0.25">
      <c r="A122" s="1124" t="s">
        <v>1132</v>
      </c>
      <c r="B122" s="1125" t="s">
        <v>437</v>
      </c>
      <c r="C122" s="1155">
        <v>11200.24</v>
      </c>
    </row>
    <row r="123" spans="1:3" ht="15.75" thickBot="1" x14ac:dyDescent="0.25">
      <c r="A123" s="1124" t="s">
        <v>1609</v>
      </c>
      <c r="B123" s="1125" t="s">
        <v>437</v>
      </c>
      <c r="C123" s="1155">
        <v>9337.3799999999992</v>
      </c>
    </row>
    <row r="124" spans="1:3" ht="15.75" thickBot="1" x14ac:dyDescent="0.25">
      <c r="A124" s="1124" t="s">
        <v>1610</v>
      </c>
      <c r="B124" s="1125" t="s">
        <v>437</v>
      </c>
      <c r="C124" s="1155">
        <v>10276.49</v>
      </c>
    </row>
    <row r="125" spans="1:3" ht="15.75" thickBot="1" x14ac:dyDescent="0.25">
      <c r="A125" s="1124" t="s">
        <v>1611</v>
      </c>
      <c r="B125" s="1125" t="s">
        <v>437</v>
      </c>
      <c r="C125" s="1155">
        <v>7242.87</v>
      </c>
    </row>
    <row r="126" spans="1:3" ht="15.75" thickBot="1" x14ac:dyDescent="0.25">
      <c r="A126" s="1124" t="s">
        <v>1612</v>
      </c>
      <c r="B126" s="1125" t="s">
        <v>437</v>
      </c>
      <c r="C126" s="1155">
        <v>7302.7</v>
      </c>
    </row>
    <row r="127" spans="1:3" ht="15.75" thickBot="1" x14ac:dyDescent="0.25">
      <c r="A127" s="1124" t="s">
        <v>1613</v>
      </c>
      <c r="B127" s="1125" t="s">
        <v>437</v>
      </c>
      <c r="C127" s="1155">
        <v>9312</v>
      </c>
    </row>
    <row r="128" spans="1:3" ht="16.5" thickBot="1" x14ac:dyDescent="0.25">
      <c r="A128" s="2012" t="s">
        <v>656</v>
      </c>
      <c r="B128" s="2013"/>
      <c r="C128" s="2014"/>
    </row>
    <row r="129" spans="1:3" ht="30.4" customHeight="1" x14ac:dyDescent="0.2">
      <c r="A129" s="2015" t="s">
        <v>1614</v>
      </c>
      <c r="B129" s="1126"/>
      <c r="C129" s="1156"/>
    </row>
    <row r="130" spans="1:3" ht="15.75" thickBot="1" x14ac:dyDescent="0.25">
      <c r="A130" s="2016"/>
      <c r="B130" s="1127" t="s">
        <v>824</v>
      </c>
      <c r="C130" s="1157">
        <v>259.48</v>
      </c>
    </row>
    <row r="131" spans="1:3" ht="30.75" thickBot="1" x14ac:dyDescent="0.25">
      <c r="A131" s="1128" t="s">
        <v>1615</v>
      </c>
      <c r="B131" s="1127" t="s">
        <v>824</v>
      </c>
      <c r="C131" s="1157">
        <v>210.78</v>
      </c>
    </row>
    <row r="132" spans="1:3" ht="15.75" thickBot="1" x14ac:dyDescent="0.25">
      <c r="A132" s="1128" t="s">
        <v>1616</v>
      </c>
      <c r="B132" s="1127" t="s">
        <v>824</v>
      </c>
      <c r="C132" s="1157">
        <v>204.54</v>
      </c>
    </row>
    <row r="133" spans="1:3" ht="30.75" thickBot="1" x14ac:dyDescent="0.25">
      <c r="A133" s="1128" t="s">
        <v>1617</v>
      </c>
      <c r="B133" s="1127" t="s">
        <v>824</v>
      </c>
      <c r="C133" s="1157">
        <v>707.69</v>
      </c>
    </row>
    <row r="134" spans="1:3" ht="30.75" thickBot="1" x14ac:dyDescent="0.25">
      <c r="A134" s="1128" t="s">
        <v>1618</v>
      </c>
      <c r="B134" s="1127" t="s">
        <v>824</v>
      </c>
      <c r="C134" s="1157">
        <v>257.77999999999997</v>
      </c>
    </row>
    <row r="135" spans="1:3" ht="30.75" thickBot="1" x14ac:dyDescent="0.25">
      <c r="A135" s="1128" t="s">
        <v>1619</v>
      </c>
      <c r="B135" s="1127" t="s">
        <v>824</v>
      </c>
      <c r="C135" s="1157">
        <v>61.06</v>
      </c>
    </row>
    <row r="136" spans="1:3" ht="15.75" thickBot="1" x14ac:dyDescent="0.25">
      <c r="A136" s="1128" t="s">
        <v>1620</v>
      </c>
      <c r="B136" s="1127" t="s">
        <v>824</v>
      </c>
      <c r="C136" s="1157">
        <v>727.66</v>
      </c>
    </row>
    <row r="137" spans="1:3" ht="30.75" thickBot="1" x14ac:dyDescent="0.25">
      <c r="A137" s="1128" t="s">
        <v>1621</v>
      </c>
      <c r="B137" s="1127" t="s">
        <v>824</v>
      </c>
      <c r="C137" s="1157">
        <v>2208.7399999999998</v>
      </c>
    </row>
    <row r="138" spans="1:3" ht="15.75" x14ac:dyDescent="0.2">
      <c r="A138" s="2015" t="s">
        <v>1622</v>
      </c>
      <c r="B138" s="1126"/>
      <c r="C138" s="1156"/>
    </row>
    <row r="139" spans="1:3" ht="15.75" thickBot="1" x14ac:dyDescent="0.25">
      <c r="A139" s="2016"/>
      <c r="B139" s="1127" t="s">
        <v>824</v>
      </c>
      <c r="C139" s="1157">
        <v>276.87</v>
      </c>
    </row>
    <row r="140" spans="1:3" ht="15.75" thickBot="1" x14ac:dyDescent="0.25">
      <c r="A140" s="1128" t="s">
        <v>1623</v>
      </c>
      <c r="B140" s="1127" t="s">
        <v>824</v>
      </c>
      <c r="C140" s="1157">
        <v>277.94</v>
      </c>
    </row>
    <row r="141" spans="1:3" ht="15.75" x14ac:dyDescent="0.2">
      <c r="A141" s="2015" t="s">
        <v>1624</v>
      </c>
      <c r="B141" s="1126"/>
      <c r="C141" s="1156"/>
    </row>
    <row r="142" spans="1:3" ht="15.75" thickBot="1" x14ac:dyDescent="0.25">
      <c r="A142" s="2016"/>
      <c r="B142" s="1127" t="s">
        <v>824</v>
      </c>
      <c r="C142" s="1157">
        <v>502.17</v>
      </c>
    </row>
    <row r="143" spans="1:3" ht="30" x14ac:dyDescent="0.2">
      <c r="A143" s="1129" t="s">
        <v>1625</v>
      </c>
      <c r="B143" s="1126"/>
      <c r="C143" s="1156"/>
    </row>
    <row r="144" spans="1:3" ht="15.75" thickBot="1" x14ac:dyDescent="0.25">
      <c r="A144" s="1128" t="s">
        <v>1626</v>
      </c>
      <c r="B144" s="1127" t="s">
        <v>824</v>
      </c>
      <c r="C144" s="1157">
        <v>189.94</v>
      </c>
    </row>
    <row r="145" spans="1:3" ht="15.75" thickBot="1" x14ac:dyDescent="0.25">
      <c r="A145" s="1128" t="s">
        <v>1627</v>
      </c>
      <c r="B145" s="1127" t="s">
        <v>824</v>
      </c>
      <c r="C145" s="1157">
        <v>5917.5</v>
      </c>
    </row>
    <row r="146" spans="1:3" ht="15.75" thickBot="1" x14ac:dyDescent="0.25">
      <c r="A146" s="1128" t="s">
        <v>1628</v>
      </c>
      <c r="B146" s="1127" t="s">
        <v>824</v>
      </c>
      <c r="C146" s="1157">
        <v>1865.45</v>
      </c>
    </row>
    <row r="147" spans="1:3" ht="15.75" x14ac:dyDescent="0.2">
      <c r="A147" s="2015" t="s">
        <v>1629</v>
      </c>
      <c r="B147" s="1126"/>
      <c r="C147" s="1156"/>
    </row>
    <row r="148" spans="1:3" ht="15.75" thickBot="1" x14ac:dyDescent="0.25">
      <c r="A148" s="2016"/>
      <c r="B148" s="1127" t="s">
        <v>824</v>
      </c>
      <c r="C148" s="1157">
        <v>206.73</v>
      </c>
    </row>
    <row r="149" spans="1:3" ht="15.75" thickBot="1" x14ac:dyDescent="0.25">
      <c r="A149" s="1128" t="s">
        <v>1630</v>
      </c>
      <c r="B149" s="1127" t="s">
        <v>824</v>
      </c>
      <c r="C149" s="1157">
        <v>610.79999999999995</v>
      </c>
    </row>
    <row r="150" spans="1:3" ht="30.75" thickBot="1" x14ac:dyDescent="0.25">
      <c r="A150" s="1128" t="s">
        <v>1631</v>
      </c>
      <c r="B150" s="1127" t="s">
        <v>824</v>
      </c>
      <c r="C150" s="1157">
        <v>182.38</v>
      </c>
    </row>
    <row r="151" spans="1:3" ht="30.75" thickBot="1" x14ac:dyDescent="0.25">
      <c r="A151" s="1128" t="s">
        <v>1632</v>
      </c>
      <c r="B151" s="1127" t="s">
        <v>824</v>
      </c>
      <c r="C151" s="1157">
        <v>1026.72</v>
      </c>
    </row>
    <row r="152" spans="1:3" ht="15.75" thickBot="1" x14ac:dyDescent="0.25">
      <c r="A152" s="1128" t="s">
        <v>1633</v>
      </c>
      <c r="B152" s="1127" t="s">
        <v>824</v>
      </c>
      <c r="C152" s="1157">
        <v>197.74</v>
      </c>
    </row>
    <row r="153" spans="1:3" ht="15.75" thickBot="1" x14ac:dyDescent="0.25">
      <c r="A153" s="1128" t="s">
        <v>1634</v>
      </c>
      <c r="B153" s="1127" t="s">
        <v>824</v>
      </c>
      <c r="C153" s="1157">
        <v>1275.79</v>
      </c>
    </row>
    <row r="154" spans="1:3" ht="15.75" thickBot="1" x14ac:dyDescent="0.25">
      <c r="A154" s="1128" t="s">
        <v>1635</v>
      </c>
      <c r="B154" s="1127" t="s">
        <v>824</v>
      </c>
      <c r="C154" s="1157">
        <v>153.72</v>
      </c>
    </row>
    <row r="155" spans="1:3" ht="15.75" thickBot="1" x14ac:dyDescent="0.25">
      <c r="A155" s="1128" t="s">
        <v>1636</v>
      </c>
      <c r="B155" s="1127" t="s">
        <v>824</v>
      </c>
      <c r="C155" s="1157">
        <v>402.58</v>
      </c>
    </row>
    <row r="156" spans="1:3" ht="15.75" thickBot="1" x14ac:dyDescent="0.25">
      <c r="A156" s="1128" t="s">
        <v>1637</v>
      </c>
      <c r="B156" s="1127" t="s">
        <v>824</v>
      </c>
      <c r="C156" s="1157">
        <v>315.47000000000003</v>
      </c>
    </row>
    <row r="157" spans="1:3" ht="15.75" thickBot="1" x14ac:dyDescent="0.25">
      <c r="A157" s="1128" t="s">
        <v>1638</v>
      </c>
      <c r="B157" s="1127" t="s">
        <v>824</v>
      </c>
      <c r="C157" s="1157">
        <v>783.65</v>
      </c>
    </row>
    <row r="158" spans="1:3" ht="15.75" thickBot="1" x14ac:dyDescent="0.25">
      <c r="A158" s="1128" t="s">
        <v>1639</v>
      </c>
      <c r="B158" s="1127" t="s">
        <v>824</v>
      </c>
      <c r="C158" s="1157">
        <v>136.69999999999999</v>
      </c>
    </row>
    <row r="159" spans="1:3" ht="15.75" thickBot="1" x14ac:dyDescent="0.25">
      <c r="A159" s="1128" t="s">
        <v>1640</v>
      </c>
      <c r="B159" s="1127" t="s">
        <v>824</v>
      </c>
      <c r="C159" s="1157">
        <v>728.92</v>
      </c>
    </row>
    <row r="160" spans="1:3" ht="30.75" thickBot="1" x14ac:dyDescent="0.25">
      <c r="A160" s="1128" t="s">
        <v>1641</v>
      </c>
      <c r="B160" s="1127" t="s">
        <v>824</v>
      </c>
      <c r="C160" s="1157">
        <v>641.57000000000005</v>
      </c>
    </row>
    <row r="161" spans="1:3" ht="30.75" thickBot="1" x14ac:dyDescent="0.25">
      <c r="A161" s="1128" t="s">
        <v>1642</v>
      </c>
      <c r="B161" s="1127" t="s">
        <v>824</v>
      </c>
      <c r="C161" s="1157">
        <v>558.11</v>
      </c>
    </row>
    <row r="162" spans="1:3" ht="30.75" thickBot="1" x14ac:dyDescent="0.25">
      <c r="A162" s="1128" t="s">
        <v>1643</v>
      </c>
      <c r="B162" s="1127" t="s">
        <v>824</v>
      </c>
      <c r="C162" s="1157">
        <v>4215.91</v>
      </c>
    </row>
    <row r="163" spans="1:3" ht="15.75" thickBot="1" x14ac:dyDescent="0.25">
      <c r="A163" s="1128" t="s">
        <v>1644</v>
      </c>
      <c r="B163" s="1127" t="s">
        <v>824</v>
      </c>
      <c r="C163" s="1157">
        <v>1816.98</v>
      </c>
    </row>
    <row r="164" spans="1:3" ht="15.75" thickBot="1" x14ac:dyDescent="0.25">
      <c r="A164" s="1128" t="s">
        <v>1645</v>
      </c>
      <c r="B164" s="1127" t="s">
        <v>824</v>
      </c>
      <c r="C164" s="1157">
        <v>773.62</v>
      </c>
    </row>
    <row r="165" spans="1:3" ht="15.75" thickBot="1" x14ac:dyDescent="0.25">
      <c r="A165" s="1128" t="s">
        <v>1646</v>
      </c>
      <c r="B165" s="1127" t="s">
        <v>824</v>
      </c>
      <c r="C165" s="1157">
        <v>174.34</v>
      </c>
    </row>
    <row r="166" spans="1:3" ht="15.75" thickBot="1" x14ac:dyDescent="0.25">
      <c r="A166" s="1128" t="s">
        <v>1647</v>
      </c>
      <c r="B166" s="1127" t="s">
        <v>824</v>
      </c>
      <c r="C166" s="1157">
        <v>117.17</v>
      </c>
    </row>
    <row r="167" spans="1:3" ht="30.75" thickBot="1" x14ac:dyDescent="0.25">
      <c r="A167" s="1128" t="s">
        <v>1648</v>
      </c>
      <c r="B167" s="1127" t="s">
        <v>824</v>
      </c>
      <c r="C167" s="1157">
        <v>111.58</v>
      </c>
    </row>
    <row r="168" spans="1:3" ht="30.75" thickBot="1" x14ac:dyDescent="0.25">
      <c r="A168" s="1128" t="s">
        <v>1649</v>
      </c>
      <c r="B168" s="1127" t="s">
        <v>824</v>
      </c>
      <c r="C168" s="1157">
        <v>116.59</v>
      </c>
    </row>
    <row r="169" spans="1:3" ht="30.75" thickBot="1" x14ac:dyDescent="0.25">
      <c r="A169" s="1128" t="s">
        <v>1650</v>
      </c>
      <c r="B169" s="1127" t="s">
        <v>824</v>
      </c>
      <c r="C169" s="1157">
        <v>727.97</v>
      </c>
    </row>
    <row r="170" spans="1:3" ht="15.75" thickBot="1" x14ac:dyDescent="0.25">
      <c r="A170" s="1128" t="s">
        <v>1651</v>
      </c>
      <c r="B170" s="1127" t="s">
        <v>824</v>
      </c>
      <c r="C170" s="1157">
        <v>760.05</v>
      </c>
    </row>
    <row r="171" spans="1:3" ht="15.75" thickBot="1" x14ac:dyDescent="0.25">
      <c r="A171" s="1128" t="s">
        <v>1652</v>
      </c>
      <c r="B171" s="1127" t="s">
        <v>824</v>
      </c>
      <c r="C171" s="1157">
        <v>730.06</v>
      </c>
    </row>
    <row r="172" spans="1:3" ht="15.75" thickBot="1" x14ac:dyDescent="0.25">
      <c r="A172" s="1128" t="s">
        <v>1653</v>
      </c>
      <c r="B172" s="1127" t="s">
        <v>824</v>
      </c>
      <c r="C172" s="1157">
        <v>1683.17</v>
      </c>
    </row>
    <row r="173" spans="1:3" ht="15.75" thickBot="1" x14ac:dyDescent="0.25">
      <c r="A173" s="1128" t="s">
        <v>1654</v>
      </c>
      <c r="B173" s="1127" t="s">
        <v>824</v>
      </c>
      <c r="C173" s="1157">
        <v>2004.92</v>
      </c>
    </row>
    <row r="174" spans="1:3" ht="30.75" thickBot="1" x14ac:dyDescent="0.25">
      <c r="A174" s="1128" t="s">
        <v>1655</v>
      </c>
      <c r="B174" s="1127" t="s">
        <v>824</v>
      </c>
      <c r="C174" s="1157">
        <v>441.44</v>
      </c>
    </row>
    <row r="175" spans="1:3" ht="30.75" thickBot="1" x14ac:dyDescent="0.25">
      <c r="A175" s="1128" t="s">
        <v>1656</v>
      </c>
      <c r="B175" s="1127" t="s">
        <v>824</v>
      </c>
      <c r="C175" s="1157">
        <v>1357.22</v>
      </c>
    </row>
    <row r="176" spans="1:3" ht="30.75" thickBot="1" x14ac:dyDescent="0.25">
      <c r="A176" s="1128" t="s">
        <v>1657</v>
      </c>
      <c r="B176" s="1127" t="s">
        <v>824</v>
      </c>
      <c r="C176" s="1157">
        <v>472.4</v>
      </c>
    </row>
    <row r="177" spans="1:3" ht="15.75" thickBot="1" x14ac:dyDescent="0.25">
      <c r="A177" s="1128" t="s">
        <v>1658</v>
      </c>
      <c r="B177" s="1127" t="s">
        <v>824</v>
      </c>
      <c r="C177" s="1157">
        <v>4207.3900000000003</v>
      </c>
    </row>
    <row r="178" spans="1:3" ht="15.75" thickBot="1" x14ac:dyDescent="0.25">
      <c r="A178" s="2017" t="s">
        <v>1659</v>
      </c>
      <c r="B178" s="2018"/>
      <c r="C178" s="2019"/>
    </row>
    <row r="179" spans="1:3" ht="15.75" thickBot="1" x14ac:dyDescent="0.25">
      <c r="A179" s="1128" t="s">
        <v>1660</v>
      </c>
      <c r="B179" s="1127" t="s">
        <v>824</v>
      </c>
      <c r="C179" s="1157">
        <v>71.19</v>
      </c>
    </row>
    <row r="180" spans="1:3" ht="30.75" thickBot="1" x14ac:dyDescent="0.25">
      <c r="A180" s="1128" t="s">
        <v>1661</v>
      </c>
      <c r="B180" s="1127" t="s">
        <v>824</v>
      </c>
      <c r="C180" s="1157">
        <v>1615.1</v>
      </c>
    </row>
    <row r="181" spans="1:3" ht="30.75" thickBot="1" x14ac:dyDescent="0.25">
      <c r="A181" s="1128" t="s">
        <v>1662</v>
      </c>
      <c r="B181" s="1127" t="s">
        <v>824</v>
      </c>
      <c r="C181" s="1157">
        <v>1140.07</v>
      </c>
    </row>
    <row r="182" spans="1:3" ht="30.75" thickBot="1" x14ac:dyDescent="0.25">
      <c r="A182" s="1128" t="s">
        <v>1663</v>
      </c>
      <c r="B182" s="1127" t="s">
        <v>824</v>
      </c>
      <c r="C182" s="1157">
        <v>705.76</v>
      </c>
    </row>
    <row r="183" spans="1:3" ht="30.75" thickBot="1" x14ac:dyDescent="0.25">
      <c r="A183" s="1128" t="s">
        <v>1664</v>
      </c>
      <c r="B183" s="1127" t="s">
        <v>824</v>
      </c>
      <c r="C183" s="1157">
        <v>854.05</v>
      </c>
    </row>
    <row r="184" spans="1:3" ht="15.75" thickBot="1" x14ac:dyDescent="0.25">
      <c r="A184" s="1128" t="s">
        <v>1665</v>
      </c>
      <c r="B184" s="1127" t="s">
        <v>824</v>
      </c>
      <c r="C184" s="1157">
        <v>343.96</v>
      </c>
    </row>
    <row r="185" spans="1:3" x14ac:dyDescent="0.2">
      <c r="A185" s="1129" t="s">
        <v>1666</v>
      </c>
      <c r="B185" s="2008" t="s">
        <v>824</v>
      </c>
      <c r="C185" s="1632">
        <v>373.16</v>
      </c>
    </row>
    <row r="186" spans="1:3" ht="15.75" thickBot="1" x14ac:dyDescent="0.25">
      <c r="A186" s="1128" t="s">
        <v>1667</v>
      </c>
      <c r="B186" s="2009"/>
      <c r="C186" s="1633"/>
    </row>
    <row r="187" spans="1:3" x14ac:dyDescent="0.2">
      <c r="A187" s="1129" t="s">
        <v>1668</v>
      </c>
      <c r="B187" s="2008" t="s">
        <v>824</v>
      </c>
      <c r="C187" s="2010">
        <v>1022.43</v>
      </c>
    </row>
    <row r="188" spans="1:3" ht="15.75" thickBot="1" x14ac:dyDescent="0.25">
      <c r="A188" s="1128" t="s">
        <v>1669</v>
      </c>
      <c r="B188" s="2009"/>
      <c r="C188" s="2011"/>
    </row>
    <row r="189" spans="1:3" ht="15.75" thickBot="1" x14ac:dyDescent="0.25">
      <c r="A189" s="1128" t="s">
        <v>1670</v>
      </c>
      <c r="B189" s="1127" t="s">
        <v>824</v>
      </c>
      <c r="C189" s="1157">
        <v>576.25</v>
      </c>
    </row>
    <row r="190" spans="1:3" ht="15.75" thickBot="1" x14ac:dyDescent="0.25">
      <c r="A190" s="1128" t="s">
        <v>1671</v>
      </c>
      <c r="B190" s="1127" t="s">
        <v>824</v>
      </c>
      <c r="C190" s="1157">
        <v>854.7</v>
      </c>
    </row>
    <row r="191" spans="1:3" ht="15.75" thickBot="1" x14ac:dyDescent="0.25">
      <c r="A191" s="1128" t="s">
        <v>1672</v>
      </c>
      <c r="B191" s="1127" t="s">
        <v>824</v>
      </c>
      <c r="C191" s="1157">
        <v>277.75</v>
      </c>
    </row>
    <row r="192" spans="1:3" ht="30.75" thickBot="1" x14ac:dyDescent="0.25">
      <c r="A192" s="1128" t="s">
        <v>1673</v>
      </c>
      <c r="B192" s="1127" t="s">
        <v>824</v>
      </c>
      <c r="C192" s="1157">
        <v>360.51</v>
      </c>
    </row>
    <row r="193" spans="1:3" ht="15.75" thickBot="1" x14ac:dyDescent="0.25">
      <c r="A193" s="1128" t="s">
        <v>1674</v>
      </c>
      <c r="B193" s="1127" t="s">
        <v>824</v>
      </c>
      <c r="C193" s="1157">
        <v>950.06</v>
      </c>
    </row>
    <row r="194" spans="1:3" ht="30.75" thickBot="1" x14ac:dyDescent="0.25">
      <c r="A194" s="1128" t="s">
        <v>1675</v>
      </c>
      <c r="B194" s="1127" t="s">
        <v>824</v>
      </c>
      <c r="C194" s="1157">
        <v>150.53</v>
      </c>
    </row>
    <row r="195" spans="1:3" ht="30.75" thickBot="1" x14ac:dyDescent="0.25">
      <c r="A195" s="1128" t="s">
        <v>1676</v>
      </c>
      <c r="B195" s="1127" t="s">
        <v>824</v>
      </c>
      <c r="C195" s="1157">
        <v>218.3</v>
      </c>
    </row>
    <row r="196" spans="1:3" ht="30" x14ac:dyDescent="0.2">
      <c r="A196" s="1129" t="s">
        <v>1677</v>
      </c>
      <c r="B196" s="1126"/>
      <c r="C196" s="1156"/>
    </row>
    <row r="197" spans="1:3" ht="15.75" thickBot="1" x14ac:dyDescent="0.25">
      <c r="A197" s="1128" t="s">
        <v>1678</v>
      </c>
      <c r="B197" s="1127" t="s">
        <v>824</v>
      </c>
      <c r="C197" s="1157">
        <v>1031.0899999999999</v>
      </c>
    </row>
    <row r="198" spans="1:3" ht="15.75" x14ac:dyDescent="0.2">
      <c r="A198" s="2015" t="s">
        <v>1679</v>
      </c>
      <c r="B198" s="1126"/>
      <c r="C198" s="1156"/>
    </row>
    <row r="199" spans="1:3" ht="15.75" thickBot="1" x14ac:dyDescent="0.25">
      <c r="A199" s="2016"/>
      <c r="B199" s="1127" t="s">
        <v>824</v>
      </c>
      <c r="C199" s="1157">
        <v>1031.49</v>
      </c>
    </row>
    <row r="200" spans="1:3" ht="30.4" customHeight="1" x14ac:dyDescent="0.2">
      <c r="A200" s="2015" t="s">
        <v>1680</v>
      </c>
      <c r="B200" s="1126"/>
      <c r="C200" s="1156"/>
    </row>
    <row r="201" spans="1:3" ht="15.75" thickBot="1" x14ac:dyDescent="0.25">
      <c r="A201" s="2016"/>
      <c r="B201" s="1127" t="s">
        <v>824</v>
      </c>
      <c r="C201" s="1157">
        <v>446.51</v>
      </c>
    </row>
    <row r="202" spans="1:3" ht="30.75" thickBot="1" x14ac:dyDescent="0.25">
      <c r="A202" s="1128" t="s">
        <v>1681</v>
      </c>
      <c r="B202" s="1127" t="s">
        <v>824</v>
      </c>
      <c r="C202" s="1157">
        <v>634.03</v>
      </c>
    </row>
    <row r="203" spans="1:3" ht="30.75" thickBot="1" x14ac:dyDescent="0.25">
      <c r="A203" s="1128" t="s">
        <v>1682</v>
      </c>
      <c r="B203" s="1127" t="s">
        <v>824</v>
      </c>
      <c r="C203" s="1157">
        <v>438.08</v>
      </c>
    </row>
    <row r="204" spans="1:3" ht="30.75" thickBot="1" x14ac:dyDescent="0.25">
      <c r="A204" s="1128" t="s">
        <v>1683</v>
      </c>
      <c r="B204" s="1127" t="s">
        <v>824</v>
      </c>
      <c r="C204" s="1157">
        <v>1593.94</v>
      </c>
    </row>
    <row r="205" spans="1:3" ht="15.75" thickBot="1" x14ac:dyDescent="0.25">
      <c r="A205" s="1128" t="s">
        <v>1684</v>
      </c>
      <c r="B205" s="1127" t="s">
        <v>824</v>
      </c>
      <c r="C205" s="1157">
        <v>189.59</v>
      </c>
    </row>
    <row r="206" spans="1:3" ht="15.75" thickBot="1" x14ac:dyDescent="0.25">
      <c r="A206" s="1128" t="s">
        <v>1685</v>
      </c>
      <c r="B206" s="1127" t="s">
        <v>824</v>
      </c>
      <c r="C206" s="1157">
        <v>402.21</v>
      </c>
    </row>
    <row r="207" spans="1:3" ht="15.75" thickBot="1" x14ac:dyDescent="0.25">
      <c r="A207" s="1128" t="s">
        <v>1686</v>
      </c>
      <c r="B207" s="1127" t="s">
        <v>824</v>
      </c>
      <c r="C207" s="1157">
        <v>150.27000000000001</v>
      </c>
    </row>
    <row r="208" spans="1:3" ht="15.75" thickBot="1" x14ac:dyDescent="0.25">
      <c r="A208" s="1128" t="s">
        <v>1687</v>
      </c>
      <c r="B208" s="1127" t="s">
        <v>824</v>
      </c>
      <c r="C208" s="1157">
        <v>372.95</v>
      </c>
    </row>
    <row r="209" spans="1:3" ht="30" x14ac:dyDescent="0.2">
      <c r="A209" s="1129" t="s">
        <v>1688</v>
      </c>
      <c r="B209" s="1126"/>
      <c r="C209" s="1156"/>
    </row>
    <row r="210" spans="1:3" ht="15.75" thickBot="1" x14ac:dyDescent="0.25">
      <c r="A210" s="1128" t="s">
        <v>1689</v>
      </c>
      <c r="B210" s="1127" t="s">
        <v>824</v>
      </c>
      <c r="C210" s="1157">
        <v>76.61</v>
      </c>
    </row>
    <row r="211" spans="1:3" ht="30.75" thickBot="1" x14ac:dyDescent="0.25">
      <c r="A211" s="1128" t="s">
        <v>1690</v>
      </c>
      <c r="B211" s="1127" t="s">
        <v>824</v>
      </c>
      <c r="C211" s="1157">
        <v>469.58</v>
      </c>
    </row>
    <row r="212" spans="1:3" ht="15.75" thickBot="1" x14ac:dyDescent="0.25">
      <c r="A212" s="1128" t="s">
        <v>1691</v>
      </c>
      <c r="B212" s="1127" t="s">
        <v>824</v>
      </c>
      <c r="C212" s="1157">
        <v>434.31</v>
      </c>
    </row>
    <row r="213" spans="1:3" ht="15.75" thickBot="1" x14ac:dyDescent="0.25">
      <c r="A213" s="1128" t="s">
        <v>1692</v>
      </c>
      <c r="B213" s="1127" t="s">
        <v>824</v>
      </c>
      <c r="C213" s="1157">
        <v>138.54</v>
      </c>
    </row>
    <row r="214" spans="1:3" ht="30.75" thickBot="1" x14ac:dyDescent="0.25">
      <c r="A214" s="1128" t="s">
        <v>1693</v>
      </c>
      <c r="B214" s="1127" t="s">
        <v>824</v>
      </c>
      <c r="C214" s="1157">
        <v>294.89</v>
      </c>
    </row>
    <row r="215" spans="1:3" x14ac:dyDescent="0.2">
      <c r="A215" s="1129" t="s">
        <v>1694</v>
      </c>
      <c r="B215" s="2008" t="s">
        <v>824</v>
      </c>
      <c r="C215" s="2010">
        <v>484.92</v>
      </c>
    </row>
    <row r="216" spans="1:3" ht="15.75" thickBot="1" x14ac:dyDescent="0.25">
      <c r="A216" s="1128" t="s">
        <v>1695</v>
      </c>
      <c r="B216" s="2009"/>
      <c r="C216" s="2011"/>
    </row>
    <row r="217" spans="1:3" ht="30.75" thickBot="1" x14ac:dyDescent="0.25">
      <c r="A217" s="1128" t="s">
        <v>1696</v>
      </c>
      <c r="B217" s="1127" t="s">
        <v>824</v>
      </c>
      <c r="C217" s="1157">
        <v>744.35</v>
      </c>
    </row>
    <row r="218" spans="1:3" ht="30.75" thickBot="1" x14ac:dyDescent="0.25">
      <c r="A218" s="1128" t="s">
        <v>1697</v>
      </c>
      <c r="B218" s="1127" t="s">
        <v>824</v>
      </c>
      <c r="C218" s="1157">
        <v>350.53</v>
      </c>
    </row>
    <row r="219" spans="1:3" ht="15.75" thickBot="1" x14ac:dyDescent="0.25">
      <c r="A219" s="1128" t="s">
        <v>1698</v>
      </c>
      <c r="B219" s="1127" t="s">
        <v>824</v>
      </c>
      <c r="C219" s="1157">
        <v>210.96</v>
      </c>
    </row>
    <row r="220" spans="1:3" ht="15.75" thickBot="1" x14ac:dyDescent="0.25">
      <c r="A220" s="1128" t="s">
        <v>1699</v>
      </c>
      <c r="B220" s="1127" t="s">
        <v>824</v>
      </c>
      <c r="C220" s="1157">
        <v>1090.3</v>
      </c>
    </row>
    <row r="221" spans="1:3" ht="15.75" thickBot="1" x14ac:dyDescent="0.25">
      <c r="A221" s="1128" t="s">
        <v>1700</v>
      </c>
      <c r="B221" s="1127" t="s">
        <v>824</v>
      </c>
      <c r="C221" s="1157">
        <v>2142.88</v>
      </c>
    </row>
    <row r="222" spans="1:3" ht="30.75" thickBot="1" x14ac:dyDescent="0.25">
      <c r="A222" s="1128" t="s">
        <v>1701</v>
      </c>
      <c r="B222" s="1127" t="s">
        <v>824</v>
      </c>
      <c r="C222" s="1157">
        <v>1183.93</v>
      </c>
    </row>
    <row r="223" spans="1:3" ht="15.75" thickBot="1" x14ac:dyDescent="0.25">
      <c r="A223" s="1128" t="s">
        <v>1702</v>
      </c>
      <c r="B223" s="1127" t="s">
        <v>824</v>
      </c>
      <c r="C223" s="1157">
        <v>468.23</v>
      </c>
    </row>
    <row r="224" spans="1:3" ht="30.75" thickBot="1" x14ac:dyDescent="0.25">
      <c r="A224" s="1128" t="s">
        <v>1703</v>
      </c>
      <c r="B224" s="1127" t="s">
        <v>824</v>
      </c>
      <c r="C224" s="1157">
        <v>425.84</v>
      </c>
    </row>
    <row r="225" spans="1:3" x14ac:dyDescent="0.2">
      <c r="A225" s="1129" t="s">
        <v>1704</v>
      </c>
      <c r="B225" s="2008" t="s">
        <v>824</v>
      </c>
      <c r="C225" s="2010">
        <v>442.34</v>
      </c>
    </row>
    <row r="226" spans="1:3" ht="15.75" thickBot="1" x14ac:dyDescent="0.25">
      <c r="A226" s="1128" t="s">
        <v>1705</v>
      </c>
      <c r="B226" s="2009"/>
      <c r="C226" s="2011"/>
    </row>
    <row r="227" spans="1:3" ht="30.4" customHeight="1" x14ac:dyDescent="0.2">
      <c r="A227" s="2020" t="s">
        <v>1706</v>
      </c>
      <c r="B227" s="1126"/>
      <c r="C227" s="1156"/>
    </row>
    <row r="228" spans="1:3" ht="15.75" thickBot="1" x14ac:dyDescent="0.25">
      <c r="A228" s="2021"/>
      <c r="B228" s="1127" t="s">
        <v>824</v>
      </c>
      <c r="C228" s="1157">
        <v>431.05</v>
      </c>
    </row>
    <row r="229" spans="1:3" ht="15.75" thickBot="1" x14ac:dyDescent="0.25">
      <c r="A229" s="1128" t="s">
        <v>1707</v>
      </c>
      <c r="B229" s="1127" t="s">
        <v>824</v>
      </c>
      <c r="C229" s="1157">
        <v>306.36</v>
      </c>
    </row>
    <row r="230" spans="1:3" ht="15.75" thickBot="1" x14ac:dyDescent="0.25">
      <c r="A230" s="1128" t="s">
        <v>1708</v>
      </c>
      <c r="B230" s="1127" t="s">
        <v>824</v>
      </c>
      <c r="C230" s="1157">
        <v>612.29</v>
      </c>
    </row>
    <row r="231" spans="1:3" ht="15.75" thickBot="1" x14ac:dyDescent="0.25">
      <c r="A231" s="1128" t="s">
        <v>1709</v>
      </c>
      <c r="B231" s="1127" t="s">
        <v>824</v>
      </c>
      <c r="C231" s="1157">
        <v>95.01</v>
      </c>
    </row>
    <row r="232" spans="1:3" ht="30.75" thickBot="1" x14ac:dyDescent="0.25">
      <c r="A232" s="1128" t="s">
        <v>1710</v>
      </c>
      <c r="B232" s="1127" t="s">
        <v>824</v>
      </c>
      <c r="C232" s="1157">
        <v>1994.09</v>
      </c>
    </row>
    <row r="233" spans="1:3" ht="15.75" thickBot="1" x14ac:dyDescent="0.25">
      <c r="A233" s="1128" t="s">
        <v>1711</v>
      </c>
      <c r="B233" s="1127" t="s">
        <v>824</v>
      </c>
      <c r="C233" s="1157">
        <v>314.89</v>
      </c>
    </row>
    <row r="234" spans="1:3" ht="15.75" thickBot="1" x14ac:dyDescent="0.25">
      <c r="A234" s="1128" t="s">
        <v>1712</v>
      </c>
      <c r="B234" s="1127" t="s">
        <v>824</v>
      </c>
      <c r="C234" s="1157">
        <v>96.98</v>
      </c>
    </row>
    <row r="235" spans="1:3" ht="16.5" thickBot="1" x14ac:dyDescent="0.25">
      <c r="A235" s="2022" t="s">
        <v>1062</v>
      </c>
      <c r="B235" s="2023"/>
      <c r="C235" s="2024"/>
    </row>
    <row r="236" spans="1:3" ht="30" x14ac:dyDescent="0.2">
      <c r="A236" s="1130" t="s">
        <v>1713</v>
      </c>
      <c r="B236" s="1131"/>
      <c r="C236" s="1158"/>
    </row>
    <row r="237" spans="1:3" ht="15.75" thickBot="1" x14ac:dyDescent="0.25">
      <c r="A237" s="1132" t="s">
        <v>1714</v>
      </c>
      <c r="B237" s="1133" t="s">
        <v>824</v>
      </c>
      <c r="C237" s="1159">
        <v>150.34</v>
      </c>
    </row>
    <row r="238" spans="1:3" ht="15.75" thickBot="1" x14ac:dyDescent="0.25">
      <c r="A238" s="1132" t="s">
        <v>1715</v>
      </c>
      <c r="B238" s="1133" t="s">
        <v>824</v>
      </c>
      <c r="C238" s="1159">
        <v>464.83</v>
      </c>
    </row>
    <row r="239" spans="1:3" ht="15.75" thickBot="1" x14ac:dyDescent="0.25">
      <c r="A239" s="1132" t="s">
        <v>1716</v>
      </c>
      <c r="B239" s="1133" t="s">
        <v>824</v>
      </c>
      <c r="C239" s="1159">
        <v>3861.99</v>
      </c>
    </row>
    <row r="240" spans="1:3" ht="15.75" thickBot="1" x14ac:dyDescent="0.25">
      <c r="A240" s="1132" t="s">
        <v>1717</v>
      </c>
      <c r="B240" s="1133" t="s">
        <v>824</v>
      </c>
      <c r="C240" s="1159">
        <v>581.04999999999995</v>
      </c>
    </row>
    <row r="241" spans="1:3" ht="15.75" thickBot="1" x14ac:dyDescent="0.25">
      <c r="A241" s="1132" t="s">
        <v>1718</v>
      </c>
      <c r="B241" s="1133" t="s">
        <v>824</v>
      </c>
      <c r="C241" s="1159">
        <v>402.35</v>
      </c>
    </row>
    <row r="242" spans="1:3" ht="30.75" thickBot="1" x14ac:dyDescent="0.25">
      <c r="A242" s="1132" t="s">
        <v>1719</v>
      </c>
      <c r="B242" s="1133" t="s">
        <v>824</v>
      </c>
      <c r="C242" s="1159">
        <v>351.41</v>
      </c>
    </row>
    <row r="243" spans="1:3" ht="30.75" thickBot="1" x14ac:dyDescent="0.25">
      <c r="A243" s="1132" t="s">
        <v>1720</v>
      </c>
      <c r="B243" s="1133" t="s">
        <v>824</v>
      </c>
      <c r="C243" s="1159">
        <v>109.56</v>
      </c>
    </row>
    <row r="244" spans="1:3" ht="30.75" thickBot="1" x14ac:dyDescent="0.25">
      <c r="A244" s="1132" t="s">
        <v>1721</v>
      </c>
      <c r="B244" s="1133" t="s">
        <v>824</v>
      </c>
      <c r="C244" s="1159">
        <v>479.34</v>
      </c>
    </row>
    <row r="245" spans="1:3" ht="15.75" thickBot="1" x14ac:dyDescent="0.25">
      <c r="A245" s="1132" t="s">
        <v>1722</v>
      </c>
      <c r="B245" s="1133" t="s">
        <v>824</v>
      </c>
      <c r="C245" s="1159">
        <v>148.41</v>
      </c>
    </row>
    <row r="246" spans="1:3" ht="30.75" thickBot="1" x14ac:dyDescent="0.25">
      <c r="A246" s="1132" t="s">
        <v>1723</v>
      </c>
      <c r="B246" s="1133" t="s">
        <v>824</v>
      </c>
      <c r="C246" s="1159">
        <v>300.2</v>
      </c>
    </row>
    <row r="247" spans="1:3" ht="15.75" x14ac:dyDescent="0.2">
      <c r="A247" s="2027" t="s">
        <v>1724</v>
      </c>
      <c r="B247" s="1131"/>
      <c r="C247" s="1158"/>
    </row>
    <row r="248" spans="1:3" ht="15.75" thickBot="1" x14ac:dyDescent="0.25">
      <c r="A248" s="2028"/>
      <c r="B248" s="1133" t="s">
        <v>824</v>
      </c>
      <c r="C248" s="1159">
        <v>132.04</v>
      </c>
    </row>
    <row r="249" spans="1:3" ht="30.75" thickBot="1" x14ac:dyDescent="0.25">
      <c r="A249" s="1132" t="s">
        <v>1725</v>
      </c>
      <c r="B249" s="1133" t="s">
        <v>824</v>
      </c>
      <c r="C249" s="1159">
        <v>206.28</v>
      </c>
    </row>
    <row r="250" spans="1:3" ht="15.75" thickBot="1" x14ac:dyDescent="0.25">
      <c r="A250" s="1132" t="s">
        <v>1726</v>
      </c>
      <c r="B250" s="1133" t="s">
        <v>824</v>
      </c>
      <c r="C250" s="1159">
        <v>308.45999999999998</v>
      </c>
    </row>
    <row r="251" spans="1:3" ht="15.75" thickBot="1" x14ac:dyDescent="0.25">
      <c r="A251" s="1132" t="s">
        <v>1727</v>
      </c>
      <c r="B251" s="1133" t="s">
        <v>824</v>
      </c>
      <c r="C251" s="1159">
        <v>9948.4500000000007</v>
      </c>
    </row>
    <row r="252" spans="1:3" ht="15.75" thickBot="1" x14ac:dyDescent="0.25">
      <c r="A252" s="1132" t="s">
        <v>1728</v>
      </c>
      <c r="B252" s="1133" t="s">
        <v>824</v>
      </c>
      <c r="C252" s="1159">
        <v>1549.17</v>
      </c>
    </row>
    <row r="253" spans="1:3" ht="15.75" thickBot="1" x14ac:dyDescent="0.25">
      <c r="A253" s="1132" t="s">
        <v>1729</v>
      </c>
      <c r="B253" s="1133" t="s">
        <v>824</v>
      </c>
      <c r="C253" s="1159">
        <v>142.59</v>
      </c>
    </row>
    <row r="254" spans="1:3" ht="30.75" thickBot="1" x14ac:dyDescent="0.25">
      <c r="A254" s="1132" t="s">
        <v>1730</v>
      </c>
      <c r="B254" s="1133" t="s">
        <v>824</v>
      </c>
      <c r="C254" s="1159">
        <v>394.2</v>
      </c>
    </row>
    <row r="255" spans="1:3" ht="15.75" thickBot="1" x14ac:dyDescent="0.25">
      <c r="A255" s="1132" t="s">
        <v>1731</v>
      </c>
      <c r="B255" s="1133" t="s">
        <v>824</v>
      </c>
      <c r="C255" s="1159">
        <v>580.88</v>
      </c>
    </row>
    <row r="256" spans="1:3" ht="15.75" x14ac:dyDescent="0.2">
      <c r="A256" s="2027" t="s">
        <v>1732</v>
      </c>
      <c r="B256" s="1131"/>
      <c r="C256" s="1158"/>
    </row>
    <row r="257" spans="1:3" ht="15.75" thickBot="1" x14ac:dyDescent="0.25">
      <c r="A257" s="2028"/>
      <c r="B257" s="1133" t="s">
        <v>824</v>
      </c>
      <c r="C257" s="1159">
        <v>391.73</v>
      </c>
    </row>
    <row r="258" spans="1:3" ht="30.75" thickBot="1" x14ac:dyDescent="0.25">
      <c r="A258" s="1132" t="s">
        <v>1733</v>
      </c>
      <c r="B258" s="1133" t="s">
        <v>824</v>
      </c>
      <c r="C258" s="1159">
        <v>624.32000000000005</v>
      </c>
    </row>
    <row r="259" spans="1:3" ht="30.75" thickBot="1" x14ac:dyDescent="0.25">
      <c r="A259" s="1132" t="s">
        <v>1734</v>
      </c>
      <c r="B259" s="1133" t="s">
        <v>824</v>
      </c>
      <c r="C259" s="1159">
        <v>479.54</v>
      </c>
    </row>
    <row r="260" spans="1:3" ht="30.75" thickBot="1" x14ac:dyDescent="0.25">
      <c r="A260" s="1132" t="s">
        <v>1735</v>
      </c>
      <c r="B260" s="1133" t="s">
        <v>824</v>
      </c>
      <c r="C260" s="1159">
        <v>176.67</v>
      </c>
    </row>
    <row r="261" spans="1:3" ht="15.75" thickBot="1" x14ac:dyDescent="0.25">
      <c r="A261" s="1132" t="s">
        <v>1736</v>
      </c>
      <c r="B261" s="1133" t="s">
        <v>824</v>
      </c>
      <c r="C261" s="1159">
        <v>199.37</v>
      </c>
    </row>
    <row r="262" spans="1:3" ht="30.75" thickBot="1" x14ac:dyDescent="0.25">
      <c r="A262" s="1132" t="s">
        <v>1737</v>
      </c>
      <c r="B262" s="1133" t="s">
        <v>824</v>
      </c>
      <c r="C262" s="1159">
        <v>92.49</v>
      </c>
    </row>
    <row r="263" spans="1:3" ht="15.75" thickBot="1" x14ac:dyDescent="0.25">
      <c r="A263" s="1132" t="s">
        <v>1738</v>
      </c>
      <c r="B263" s="1133" t="s">
        <v>824</v>
      </c>
      <c r="C263" s="1159">
        <v>82.64</v>
      </c>
    </row>
    <row r="264" spans="1:3" ht="30.75" thickBot="1" x14ac:dyDescent="0.25">
      <c r="A264" s="1132" t="s">
        <v>1739</v>
      </c>
      <c r="B264" s="1133" t="s">
        <v>824</v>
      </c>
      <c r="C264" s="1159">
        <v>76.34</v>
      </c>
    </row>
    <row r="265" spans="1:3" ht="15.75" thickBot="1" x14ac:dyDescent="0.25">
      <c r="A265" s="1132" t="s">
        <v>1740</v>
      </c>
      <c r="B265" s="1133" t="s">
        <v>824</v>
      </c>
      <c r="C265" s="1159">
        <v>256.45</v>
      </c>
    </row>
    <row r="266" spans="1:3" ht="15.75" thickBot="1" x14ac:dyDescent="0.25">
      <c r="A266" s="1132" t="s">
        <v>1741</v>
      </c>
      <c r="B266" s="1133" t="s">
        <v>824</v>
      </c>
      <c r="C266" s="1159">
        <v>1262.01</v>
      </c>
    </row>
    <row r="267" spans="1:3" ht="30.75" thickBot="1" x14ac:dyDescent="0.25">
      <c r="A267" s="1132" t="s">
        <v>1742</v>
      </c>
      <c r="B267" s="1133" t="s">
        <v>824</v>
      </c>
      <c r="C267" s="1159">
        <v>241.48</v>
      </c>
    </row>
    <row r="268" spans="1:3" ht="15.75" thickBot="1" x14ac:dyDescent="0.25">
      <c r="A268" s="1132" t="s">
        <v>1743</v>
      </c>
      <c r="B268" s="1133" t="s">
        <v>824</v>
      </c>
      <c r="C268" s="1159">
        <v>346.73</v>
      </c>
    </row>
    <row r="269" spans="1:3" ht="30.75" thickBot="1" x14ac:dyDescent="0.25">
      <c r="A269" s="1132" t="s">
        <v>1744</v>
      </c>
      <c r="B269" s="1133" t="s">
        <v>824</v>
      </c>
      <c r="C269" s="1159">
        <v>584.03</v>
      </c>
    </row>
    <row r="270" spans="1:3" ht="30.75" thickBot="1" x14ac:dyDescent="0.25">
      <c r="A270" s="1132" t="s">
        <v>1745</v>
      </c>
      <c r="B270" s="1133" t="s">
        <v>824</v>
      </c>
      <c r="C270" s="1159">
        <v>3210.87</v>
      </c>
    </row>
    <row r="271" spans="1:3" ht="15.75" thickBot="1" x14ac:dyDescent="0.25">
      <c r="A271" s="1132" t="s">
        <v>1746</v>
      </c>
      <c r="B271" s="1133" t="s">
        <v>824</v>
      </c>
      <c r="C271" s="1159">
        <v>234.97</v>
      </c>
    </row>
    <row r="272" spans="1:3" ht="15.75" thickBot="1" x14ac:dyDescent="0.25">
      <c r="A272" s="1132" t="s">
        <v>1747</v>
      </c>
      <c r="B272" s="1133" t="s">
        <v>824</v>
      </c>
      <c r="C272" s="1159">
        <v>580.88</v>
      </c>
    </row>
    <row r="273" spans="1:3" ht="15.75" thickBot="1" x14ac:dyDescent="0.25">
      <c r="A273" s="1132" t="s">
        <v>1748</v>
      </c>
      <c r="B273" s="1133" t="s">
        <v>824</v>
      </c>
      <c r="C273" s="1159">
        <v>90.35</v>
      </c>
    </row>
    <row r="274" spans="1:3" ht="15.75" thickBot="1" x14ac:dyDescent="0.25">
      <c r="A274" s="1132" t="s">
        <v>786</v>
      </c>
      <c r="B274" s="1133" t="s">
        <v>824</v>
      </c>
      <c r="C274" s="1159">
        <v>5983.05</v>
      </c>
    </row>
    <row r="275" spans="1:3" ht="30.75" thickBot="1" x14ac:dyDescent="0.25">
      <c r="A275" s="1132" t="s">
        <v>1749</v>
      </c>
      <c r="B275" s="1133" t="s">
        <v>824</v>
      </c>
      <c r="C275" s="1159">
        <v>920.77</v>
      </c>
    </row>
    <row r="276" spans="1:3" ht="30.75" thickBot="1" x14ac:dyDescent="0.25">
      <c r="A276" s="1132" t="s">
        <v>1750</v>
      </c>
      <c r="B276" s="1133" t="s">
        <v>824</v>
      </c>
      <c r="C276" s="1159">
        <v>199.84</v>
      </c>
    </row>
    <row r="277" spans="1:3" ht="15.75" thickBot="1" x14ac:dyDescent="0.25">
      <c r="A277" s="1132" t="s">
        <v>1751</v>
      </c>
      <c r="B277" s="1133" t="s">
        <v>824</v>
      </c>
      <c r="C277" s="1159">
        <v>221.56</v>
      </c>
    </row>
    <row r="278" spans="1:3" ht="15.75" thickBot="1" x14ac:dyDescent="0.25">
      <c r="A278" s="1132" t="s">
        <v>1752</v>
      </c>
      <c r="B278" s="1133" t="s">
        <v>824</v>
      </c>
      <c r="C278" s="1159">
        <v>269.02</v>
      </c>
    </row>
    <row r="279" spans="1:3" ht="15.75" thickBot="1" x14ac:dyDescent="0.25">
      <c r="A279" s="1132" t="s">
        <v>1753</v>
      </c>
      <c r="B279" s="1133" t="s">
        <v>824</v>
      </c>
      <c r="C279" s="1159">
        <v>230.73</v>
      </c>
    </row>
    <row r="280" spans="1:3" ht="15.75" thickBot="1" x14ac:dyDescent="0.25">
      <c r="A280" s="1132" t="s">
        <v>1097</v>
      </c>
      <c r="B280" s="1133" t="s">
        <v>824</v>
      </c>
      <c r="C280" s="1159">
        <v>419.65</v>
      </c>
    </row>
    <row r="281" spans="1:3" ht="15.75" thickBot="1" x14ac:dyDescent="0.25">
      <c r="A281" s="1132" t="s">
        <v>1754</v>
      </c>
      <c r="B281" s="1133" t="s">
        <v>824</v>
      </c>
      <c r="C281" s="1159">
        <v>80.34</v>
      </c>
    </row>
    <row r="282" spans="1:3" ht="30.75" thickBot="1" x14ac:dyDescent="0.25">
      <c r="A282" s="1132" t="s">
        <v>1755</v>
      </c>
      <c r="B282" s="1133" t="s">
        <v>824</v>
      </c>
      <c r="C282" s="1159">
        <v>425.91</v>
      </c>
    </row>
    <row r="283" spans="1:3" ht="15.75" thickBot="1" x14ac:dyDescent="0.25">
      <c r="A283" s="1132" t="s">
        <v>1756</v>
      </c>
      <c r="B283" s="1133" t="s">
        <v>824</v>
      </c>
      <c r="C283" s="1159">
        <v>407.17</v>
      </c>
    </row>
    <row r="284" spans="1:3" ht="15.75" thickBot="1" x14ac:dyDescent="0.25">
      <c r="A284" s="1132" t="s">
        <v>1757</v>
      </c>
      <c r="B284" s="1133" t="s">
        <v>824</v>
      </c>
      <c r="C284" s="1159">
        <v>624.32000000000005</v>
      </c>
    </row>
    <row r="285" spans="1:3" ht="30.75" thickBot="1" x14ac:dyDescent="0.25">
      <c r="A285" s="1132" t="s">
        <v>1758</v>
      </c>
      <c r="B285" s="1133" t="s">
        <v>824</v>
      </c>
      <c r="C285" s="1159">
        <v>419.04</v>
      </c>
    </row>
    <row r="286" spans="1:3" ht="30.75" thickBot="1" x14ac:dyDescent="0.25">
      <c r="A286" s="1132" t="s">
        <v>1759</v>
      </c>
      <c r="B286" s="1133" t="s">
        <v>824</v>
      </c>
      <c r="C286" s="1159">
        <v>349.2</v>
      </c>
    </row>
    <row r="287" spans="1:3" ht="15.75" thickBot="1" x14ac:dyDescent="0.25">
      <c r="A287" s="1132" t="s">
        <v>1760</v>
      </c>
      <c r="B287" s="1133" t="s">
        <v>824</v>
      </c>
      <c r="C287" s="1159">
        <v>635.15</v>
      </c>
    </row>
    <row r="288" spans="1:3" ht="30.75" thickBot="1" x14ac:dyDescent="0.25">
      <c r="A288" s="1132" t="s">
        <v>1761</v>
      </c>
      <c r="B288" s="1133" t="s">
        <v>824</v>
      </c>
      <c r="C288" s="1159">
        <v>159.47</v>
      </c>
    </row>
    <row r="289" spans="1:3" ht="15.75" thickBot="1" x14ac:dyDescent="0.25">
      <c r="A289" s="1132" t="s">
        <v>1762</v>
      </c>
      <c r="B289" s="1133" t="s">
        <v>824</v>
      </c>
      <c r="C289" s="1159">
        <v>456.52</v>
      </c>
    </row>
    <row r="290" spans="1:3" ht="15.75" thickBot="1" x14ac:dyDescent="0.25">
      <c r="A290" s="1132" t="s">
        <v>1763</v>
      </c>
      <c r="B290" s="1133" t="s">
        <v>824</v>
      </c>
      <c r="C290" s="1159">
        <v>575.83000000000004</v>
      </c>
    </row>
    <row r="291" spans="1:3" ht="15.75" thickBot="1" x14ac:dyDescent="0.25">
      <c r="A291" s="1132" t="s">
        <v>1764</v>
      </c>
      <c r="B291" s="1133" t="s">
        <v>824</v>
      </c>
      <c r="C291" s="1159">
        <v>462.6</v>
      </c>
    </row>
    <row r="292" spans="1:3" ht="15.75" thickBot="1" x14ac:dyDescent="0.25">
      <c r="A292" s="2029" t="s">
        <v>1765</v>
      </c>
      <c r="B292" s="2030"/>
      <c r="C292" s="2031"/>
    </row>
    <row r="293" spans="1:3" ht="15.75" thickBot="1" x14ac:dyDescent="0.25">
      <c r="A293" s="1132" t="s">
        <v>1766</v>
      </c>
      <c r="B293" s="1133" t="s">
        <v>824</v>
      </c>
      <c r="C293" s="1159">
        <v>71.19</v>
      </c>
    </row>
    <row r="294" spans="1:3" ht="15.75" thickBot="1" x14ac:dyDescent="0.25">
      <c r="A294" s="1132" t="s">
        <v>1767</v>
      </c>
      <c r="B294" s="1133" t="s">
        <v>824</v>
      </c>
      <c r="C294" s="1159">
        <v>800.76</v>
      </c>
    </row>
    <row r="295" spans="1:3" ht="15.75" thickBot="1" x14ac:dyDescent="0.25">
      <c r="A295" s="1132" t="s">
        <v>1768</v>
      </c>
      <c r="B295" s="1133" t="s">
        <v>824</v>
      </c>
      <c r="C295" s="1159">
        <v>86.9</v>
      </c>
    </row>
    <row r="296" spans="1:3" ht="30.75" thickBot="1" x14ac:dyDescent="0.25">
      <c r="A296" s="1132" t="s">
        <v>1769</v>
      </c>
      <c r="B296" s="1133" t="s">
        <v>824</v>
      </c>
      <c r="C296" s="1159">
        <v>316.20999999999998</v>
      </c>
    </row>
    <row r="297" spans="1:3" ht="15.75" thickBot="1" x14ac:dyDescent="0.25">
      <c r="A297" s="1132" t="s">
        <v>1770</v>
      </c>
      <c r="B297" s="1133" t="s">
        <v>824</v>
      </c>
      <c r="C297" s="1159">
        <v>176.67</v>
      </c>
    </row>
    <row r="298" spans="1:3" ht="15.75" thickBot="1" x14ac:dyDescent="0.25">
      <c r="A298" s="1132" t="s">
        <v>1771</v>
      </c>
      <c r="B298" s="1133" t="s">
        <v>824</v>
      </c>
      <c r="C298" s="1159">
        <v>246.93</v>
      </c>
    </row>
    <row r="299" spans="1:3" ht="15.75" thickBot="1" x14ac:dyDescent="0.25">
      <c r="A299" s="1132" t="s">
        <v>1772</v>
      </c>
      <c r="B299" s="1133" t="s">
        <v>824</v>
      </c>
      <c r="C299" s="1159">
        <v>104.76</v>
      </c>
    </row>
    <row r="300" spans="1:3" ht="15.75" thickBot="1" x14ac:dyDescent="0.25">
      <c r="A300" s="1132" t="s">
        <v>804</v>
      </c>
      <c r="B300" s="1133" t="s">
        <v>824</v>
      </c>
      <c r="C300" s="1159">
        <v>259.27</v>
      </c>
    </row>
    <row r="301" spans="1:3" ht="15.75" thickBot="1" x14ac:dyDescent="0.25">
      <c r="A301" s="1134" t="s">
        <v>1773</v>
      </c>
      <c r="B301" s="1135" t="s">
        <v>824</v>
      </c>
      <c r="C301" s="1160">
        <v>65.09</v>
      </c>
    </row>
    <row r="302" spans="1:3" ht="15.75" thickBot="1" x14ac:dyDescent="0.25">
      <c r="A302" s="1134" t="s">
        <v>1774</v>
      </c>
      <c r="B302" s="1135" t="s">
        <v>824</v>
      </c>
      <c r="C302" s="1160">
        <v>630.59</v>
      </c>
    </row>
    <row r="303" spans="1:3" ht="15.75" thickBot="1" x14ac:dyDescent="0.25">
      <c r="A303" s="1134" t="s">
        <v>1775</v>
      </c>
      <c r="B303" s="1135" t="s">
        <v>824</v>
      </c>
      <c r="C303" s="1160">
        <v>529.48</v>
      </c>
    </row>
    <row r="304" spans="1:3" ht="15.75" thickBot="1" x14ac:dyDescent="0.25">
      <c r="A304" s="1134" t="s">
        <v>1776</v>
      </c>
      <c r="B304" s="1135" t="s">
        <v>824</v>
      </c>
      <c r="C304" s="1160">
        <v>1655.81</v>
      </c>
    </row>
    <row r="305" spans="1:7" ht="15.75" thickBot="1" x14ac:dyDescent="0.25">
      <c r="A305" s="1134" t="s">
        <v>808</v>
      </c>
      <c r="B305" s="1135" t="s">
        <v>824</v>
      </c>
      <c r="C305" s="1160">
        <v>1357.22</v>
      </c>
    </row>
    <row r="306" spans="1:7" ht="15.75" thickBot="1" x14ac:dyDescent="0.25">
      <c r="A306" s="1134" t="s">
        <v>809</v>
      </c>
      <c r="B306" s="1135" t="s">
        <v>824</v>
      </c>
      <c r="C306" s="1160">
        <v>91.96</v>
      </c>
    </row>
    <row r="307" spans="1:7" ht="15.75" thickBot="1" x14ac:dyDescent="0.25">
      <c r="A307" s="1134" t="s">
        <v>1777</v>
      </c>
      <c r="B307" s="1135" t="s">
        <v>824</v>
      </c>
      <c r="C307" s="1160">
        <v>13.97</v>
      </c>
    </row>
    <row r="308" spans="1:7" ht="15.75" thickBot="1" x14ac:dyDescent="0.25">
      <c r="A308" s="1134" t="s">
        <v>1778</v>
      </c>
      <c r="B308" s="1135" t="s">
        <v>824</v>
      </c>
      <c r="C308" s="1160">
        <v>312.88</v>
      </c>
    </row>
    <row r="309" spans="1:7" ht="15.75" thickBot="1" x14ac:dyDescent="0.25">
      <c r="A309" s="1134" t="s">
        <v>685</v>
      </c>
      <c r="B309" s="1135" t="s">
        <v>824</v>
      </c>
      <c r="C309" s="1160">
        <v>448.86</v>
      </c>
    </row>
    <row r="310" spans="1:7" ht="15.75" thickBot="1" x14ac:dyDescent="0.25">
      <c r="A310" s="1134" t="s">
        <v>1779</v>
      </c>
      <c r="B310" s="1135" t="s">
        <v>824</v>
      </c>
      <c r="C310" s="1160">
        <v>5609.13</v>
      </c>
    </row>
    <row r="311" spans="1:7" ht="15.75" thickBot="1" x14ac:dyDescent="0.25">
      <c r="A311" s="1134" t="s">
        <v>1780</v>
      </c>
      <c r="B311" s="1135" t="s">
        <v>824</v>
      </c>
      <c r="C311" s="1160">
        <v>275.47000000000003</v>
      </c>
    </row>
    <row r="312" spans="1:7" ht="15.75" thickBot="1" x14ac:dyDescent="0.25">
      <c r="A312" s="1134" t="s">
        <v>1781</v>
      </c>
      <c r="B312" s="1135" t="s">
        <v>824</v>
      </c>
      <c r="C312" s="1160">
        <v>142.01</v>
      </c>
    </row>
    <row r="313" spans="1:7" ht="15.75" thickBot="1" x14ac:dyDescent="0.25">
      <c r="A313" s="1134" t="s">
        <v>1782</v>
      </c>
      <c r="B313" s="1135" t="s">
        <v>824</v>
      </c>
      <c r="C313" s="1160">
        <v>368.22</v>
      </c>
    </row>
    <row r="314" spans="1:7" ht="15.75" thickBot="1" x14ac:dyDescent="0.25">
      <c r="A314" s="1134" t="s">
        <v>1783</v>
      </c>
      <c r="B314" s="1135" t="s">
        <v>824</v>
      </c>
      <c r="C314" s="1160">
        <v>465.6</v>
      </c>
    </row>
    <row r="315" spans="1:7" ht="15.75" thickBot="1" x14ac:dyDescent="0.25">
      <c r="A315" s="1134" t="s">
        <v>1113</v>
      </c>
      <c r="B315" s="1135" t="s">
        <v>824</v>
      </c>
      <c r="C315" s="1160">
        <v>115.63</v>
      </c>
    </row>
    <row r="316" spans="1:7" ht="15.75" thickBot="1" x14ac:dyDescent="0.25">
      <c r="A316" s="1134" t="s">
        <v>1784</v>
      </c>
      <c r="B316" s="1135" t="s">
        <v>824</v>
      </c>
      <c r="C316" s="1160">
        <v>70.56</v>
      </c>
    </row>
    <row r="317" spans="1:7" ht="15.75" thickBot="1" x14ac:dyDescent="0.25">
      <c r="A317" s="1134" t="s">
        <v>1785</v>
      </c>
      <c r="B317" s="1135" t="s">
        <v>824</v>
      </c>
      <c r="C317" s="1160">
        <v>74.08</v>
      </c>
    </row>
    <row r="318" spans="1:7" ht="15.75" thickBot="1" x14ac:dyDescent="0.25">
      <c r="A318" s="1134" t="s">
        <v>1786</v>
      </c>
      <c r="B318" s="1135" t="s">
        <v>824</v>
      </c>
      <c r="C318" s="1160">
        <v>1307.6099999999999</v>
      </c>
    </row>
    <row r="319" spans="1:7" ht="15.75" thickBot="1" x14ac:dyDescent="0.25">
      <c r="A319" s="1136" t="s">
        <v>1787</v>
      </c>
      <c r="B319" s="1135" t="s">
        <v>824</v>
      </c>
      <c r="C319" s="1160">
        <v>698.4</v>
      </c>
    </row>
    <row r="320" spans="1:7" ht="15.75" thickBot="1" x14ac:dyDescent="0.25">
      <c r="A320" s="1136" t="s">
        <v>438</v>
      </c>
      <c r="B320" s="1135" t="s">
        <v>944</v>
      </c>
      <c r="C320" s="1160">
        <v>83.34</v>
      </c>
      <c r="F320" s="5">
        <v>1</v>
      </c>
      <c r="G320" s="5">
        <v>200</v>
      </c>
    </row>
    <row r="321" spans="1:7" ht="15.75" thickBot="1" x14ac:dyDescent="0.25">
      <c r="A321" s="1134" t="s">
        <v>1788</v>
      </c>
      <c r="B321" s="1135" t="s">
        <v>944</v>
      </c>
      <c r="C321" s="1160">
        <v>83.34</v>
      </c>
      <c r="F321" s="5">
        <v>90</v>
      </c>
      <c r="G321" s="5">
        <f>F321*G320</f>
        <v>18000</v>
      </c>
    </row>
    <row r="322" spans="1:7" ht="15.75" thickBot="1" x14ac:dyDescent="0.25">
      <c r="A322" s="1134" t="s">
        <v>945</v>
      </c>
      <c r="B322" s="1135" t="s">
        <v>638</v>
      </c>
      <c r="C322" s="1160">
        <v>333.6</v>
      </c>
    </row>
    <row r="323" spans="1:7" ht="15.75" thickBot="1" x14ac:dyDescent="0.25">
      <c r="A323" s="1134" t="s">
        <v>1789</v>
      </c>
      <c r="B323" s="1135" t="s">
        <v>940</v>
      </c>
      <c r="C323" s="1160">
        <v>279.36</v>
      </c>
    </row>
    <row r="324" spans="1:7" ht="15.75" thickBot="1" x14ac:dyDescent="0.25">
      <c r="A324" s="1134" t="s">
        <v>1790</v>
      </c>
      <c r="B324" s="1135" t="s">
        <v>940</v>
      </c>
      <c r="C324" s="1160">
        <v>254.92</v>
      </c>
    </row>
    <row r="325" spans="1:7" ht="15.75" thickBot="1" x14ac:dyDescent="0.25">
      <c r="A325" s="1134" t="s">
        <v>1791</v>
      </c>
      <c r="B325" s="1135" t="s">
        <v>940</v>
      </c>
      <c r="C325" s="1160">
        <v>838.08</v>
      </c>
    </row>
    <row r="326" spans="1:7" ht="15.75" thickBot="1" x14ac:dyDescent="0.25">
      <c r="A326" s="1134" t="s">
        <v>1792</v>
      </c>
      <c r="B326" s="1135" t="s">
        <v>949</v>
      </c>
      <c r="C326" s="1160">
        <v>11.17</v>
      </c>
    </row>
    <row r="327" spans="1:7" ht="15.75" thickBot="1" x14ac:dyDescent="0.25">
      <c r="A327" s="1134" t="s">
        <v>1793</v>
      </c>
      <c r="B327" s="1135" t="s">
        <v>949</v>
      </c>
      <c r="C327" s="1160">
        <v>11.17</v>
      </c>
    </row>
    <row r="328" spans="1:7" ht="15.75" thickBot="1" x14ac:dyDescent="0.25">
      <c r="A328" s="1134" t="s">
        <v>1794</v>
      </c>
      <c r="B328" s="1135" t="s">
        <v>949</v>
      </c>
      <c r="C328" s="1160">
        <v>11.17</v>
      </c>
    </row>
    <row r="329" spans="1:7" ht="15.75" thickBot="1" x14ac:dyDescent="0.25">
      <c r="A329" s="1134" t="s">
        <v>1795</v>
      </c>
      <c r="B329" s="1135" t="s">
        <v>940</v>
      </c>
      <c r="C329" s="1160">
        <v>372.48</v>
      </c>
    </row>
    <row r="330" spans="1:7" ht="15.75" thickBot="1" x14ac:dyDescent="0.25">
      <c r="A330" s="1134" t="s">
        <v>1796</v>
      </c>
      <c r="B330" s="1135" t="s">
        <v>638</v>
      </c>
      <c r="C330" s="1160">
        <v>83.34</v>
      </c>
    </row>
    <row r="331" spans="1:7" ht="15.75" thickBot="1" x14ac:dyDescent="0.25">
      <c r="A331" s="1134" t="s">
        <v>1142</v>
      </c>
      <c r="B331" s="1135" t="s">
        <v>658</v>
      </c>
      <c r="C331" s="1160">
        <v>8</v>
      </c>
    </row>
    <row r="332" spans="1:7" ht="15.75" thickBot="1" x14ac:dyDescent="0.25">
      <c r="A332" s="1134" t="s">
        <v>1143</v>
      </c>
      <c r="B332" s="1135" t="s">
        <v>658</v>
      </c>
      <c r="C332" s="1160">
        <v>14.8</v>
      </c>
    </row>
    <row r="333" spans="1:7" ht="15.75" thickBot="1" x14ac:dyDescent="0.25">
      <c r="A333" s="1134" t="s">
        <v>1144</v>
      </c>
      <c r="B333" s="1135" t="s">
        <v>658</v>
      </c>
      <c r="C333" s="1160">
        <v>40</v>
      </c>
    </row>
    <row r="334" spans="1:7" ht="15.75" thickBot="1" x14ac:dyDescent="0.25">
      <c r="A334" s="1134" t="s">
        <v>1145</v>
      </c>
      <c r="B334" s="1135" t="s">
        <v>658</v>
      </c>
      <c r="C334" s="1160">
        <v>16</v>
      </c>
    </row>
    <row r="335" spans="1:7" ht="15.75" thickBot="1" x14ac:dyDescent="0.25">
      <c r="A335" s="1134" t="s">
        <v>1146</v>
      </c>
      <c r="B335" s="1135" t="s">
        <v>658</v>
      </c>
      <c r="C335" s="1160">
        <v>40</v>
      </c>
    </row>
    <row r="336" spans="1:7" ht="15.75" thickBot="1" x14ac:dyDescent="0.25">
      <c r="A336" s="1134" t="s">
        <v>1147</v>
      </c>
      <c r="B336" s="1135" t="s">
        <v>658</v>
      </c>
      <c r="C336" s="1160">
        <v>9.6</v>
      </c>
    </row>
    <row r="337" spans="1:3" ht="15.75" thickBot="1" x14ac:dyDescent="0.25">
      <c r="A337" s="1134" t="s">
        <v>1148</v>
      </c>
      <c r="B337" s="1135" t="s">
        <v>658</v>
      </c>
      <c r="C337" s="1160">
        <v>12</v>
      </c>
    </row>
    <row r="338" spans="1:3" ht="15.75" thickBot="1" x14ac:dyDescent="0.25">
      <c r="A338" s="1134" t="s">
        <v>1149</v>
      </c>
      <c r="B338" s="1135" t="s">
        <v>658</v>
      </c>
      <c r="C338" s="1160">
        <v>120</v>
      </c>
    </row>
    <row r="339" spans="1:3" ht="15.75" thickBot="1" x14ac:dyDescent="0.25">
      <c r="A339" s="1134" t="s">
        <v>1797</v>
      </c>
      <c r="B339" s="1135" t="s">
        <v>658</v>
      </c>
      <c r="C339" s="1160">
        <v>5.2</v>
      </c>
    </row>
    <row r="340" spans="1:3" ht="15.75" thickBot="1" x14ac:dyDescent="0.25">
      <c r="A340" s="1134" t="s">
        <v>284</v>
      </c>
      <c r="B340" s="1135" t="s">
        <v>658</v>
      </c>
      <c r="C340" s="1160">
        <v>12</v>
      </c>
    </row>
    <row r="341" spans="1:3" ht="15.75" thickBot="1" x14ac:dyDescent="0.25">
      <c r="A341" s="1134" t="s">
        <v>1798</v>
      </c>
      <c r="B341" s="1135" t="s">
        <v>658</v>
      </c>
      <c r="C341" s="1160">
        <v>320</v>
      </c>
    </row>
    <row r="342" spans="1:3" ht="15.75" thickBot="1" x14ac:dyDescent="0.25">
      <c r="A342" s="1134" t="s">
        <v>883</v>
      </c>
      <c r="B342" s="1135" t="s">
        <v>658</v>
      </c>
      <c r="C342" s="1160">
        <v>40</v>
      </c>
    </row>
    <row r="343" spans="1:3" ht="15.75" thickBot="1" x14ac:dyDescent="0.25">
      <c r="A343" s="1137" t="s">
        <v>884</v>
      </c>
      <c r="B343" s="1133" t="s">
        <v>658</v>
      </c>
      <c r="C343" s="1160">
        <v>40</v>
      </c>
    </row>
    <row r="344" spans="1:3" ht="15.75" thickBot="1" x14ac:dyDescent="0.25">
      <c r="A344" s="1137" t="s">
        <v>885</v>
      </c>
      <c r="B344" s="1133" t="s">
        <v>658</v>
      </c>
      <c r="C344" s="1160">
        <v>23.6</v>
      </c>
    </row>
    <row r="345" spans="1:3" ht="15.75" thickBot="1" x14ac:dyDescent="0.25">
      <c r="A345" s="1137" t="s">
        <v>1135</v>
      </c>
      <c r="B345" s="1133" t="s">
        <v>658</v>
      </c>
      <c r="C345" s="1160">
        <v>10</v>
      </c>
    </row>
    <row r="346" spans="1:3" ht="15.75" thickBot="1" x14ac:dyDescent="0.25">
      <c r="A346" s="1137" t="s">
        <v>1799</v>
      </c>
      <c r="B346" s="1133" t="s">
        <v>658</v>
      </c>
      <c r="C346" s="1160">
        <v>12</v>
      </c>
    </row>
    <row r="347" spans="1:3" ht="15.75" thickBot="1" x14ac:dyDescent="0.25">
      <c r="A347" s="1137" t="s">
        <v>1137</v>
      </c>
      <c r="B347" s="1133" t="s">
        <v>658</v>
      </c>
      <c r="C347" s="1160">
        <v>12</v>
      </c>
    </row>
    <row r="348" spans="1:3" ht="16.5" thickBot="1" x14ac:dyDescent="0.25">
      <c r="A348" s="2032" t="s">
        <v>1800</v>
      </c>
      <c r="B348" s="2033"/>
      <c r="C348" s="2034"/>
    </row>
    <row r="349" spans="1:3" ht="15.75" thickBot="1" x14ac:dyDescent="0.25">
      <c r="A349" s="1138" t="s">
        <v>1153</v>
      </c>
      <c r="B349" s="1139" t="s">
        <v>437</v>
      </c>
      <c r="C349" s="1161">
        <v>8372</v>
      </c>
    </row>
    <row r="350" spans="1:3" ht="15.75" thickBot="1" x14ac:dyDescent="0.25">
      <c r="A350" s="1138" t="s">
        <v>1801</v>
      </c>
      <c r="B350" s="1139" t="s">
        <v>437</v>
      </c>
      <c r="C350" s="1161">
        <v>9853.2000000000007</v>
      </c>
    </row>
    <row r="351" spans="1:3" ht="15.75" thickBot="1" x14ac:dyDescent="0.25">
      <c r="A351" s="1138" t="s">
        <v>1155</v>
      </c>
      <c r="B351" s="1139" t="s">
        <v>437</v>
      </c>
      <c r="C351" s="1161">
        <v>10166</v>
      </c>
    </row>
    <row r="352" spans="1:3" ht="15.75" thickBot="1" x14ac:dyDescent="0.25">
      <c r="A352" s="1138" t="s">
        <v>1156</v>
      </c>
      <c r="B352" s="1139" t="s">
        <v>437</v>
      </c>
      <c r="C352" s="1161">
        <v>10037.200000000001</v>
      </c>
    </row>
    <row r="353" spans="1:3" ht="15.75" thickBot="1" x14ac:dyDescent="0.25">
      <c r="A353" s="1138" t="s">
        <v>1157</v>
      </c>
      <c r="B353" s="1139" t="s">
        <v>437</v>
      </c>
      <c r="C353" s="1161">
        <v>10101.6</v>
      </c>
    </row>
    <row r="354" spans="1:3" ht="15.75" thickBot="1" x14ac:dyDescent="0.25">
      <c r="A354" s="1138" t="s">
        <v>1158</v>
      </c>
      <c r="B354" s="1139" t="s">
        <v>437</v>
      </c>
      <c r="C354" s="1161">
        <v>9982</v>
      </c>
    </row>
    <row r="355" spans="1:3" ht="15.75" thickBot="1" x14ac:dyDescent="0.25">
      <c r="A355" s="1138" t="s">
        <v>1159</v>
      </c>
      <c r="B355" s="1139" t="s">
        <v>437</v>
      </c>
      <c r="C355" s="1161">
        <v>9393.2000000000007</v>
      </c>
    </row>
    <row r="356" spans="1:3" ht="15.75" thickBot="1" x14ac:dyDescent="0.25">
      <c r="A356" s="1138" t="s">
        <v>1160</v>
      </c>
      <c r="B356" s="1139" t="s">
        <v>437</v>
      </c>
      <c r="C356" s="1161">
        <v>9259.7999999999993</v>
      </c>
    </row>
    <row r="357" spans="1:3" ht="15.75" thickBot="1" x14ac:dyDescent="0.25">
      <c r="A357" s="1138" t="s">
        <v>1161</v>
      </c>
      <c r="B357" s="1139" t="s">
        <v>437</v>
      </c>
      <c r="C357" s="1161">
        <v>9784.2000000000007</v>
      </c>
    </row>
    <row r="358" spans="1:3" ht="15.75" thickBot="1" x14ac:dyDescent="0.25">
      <c r="A358" s="1138" t="s">
        <v>1162</v>
      </c>
      <c r="B358" s="1139" t="s">
        <v>437</v>
      </c>
      <c r="C358" s="1161">
        <v>9655.4</v>
      </c>
    </row>
    <row r="359" spans="1:3" ht="15.75" thickBot="1" x14ac:dyDescent="0.25">
      <c r="A359" s="1138" t="s">
        <v>1163</v>
      </c>
      <c r="B359" s="1139" t="s">
        <v>437</v>
      </c>
      <c r="C359" s="1161">
        <v>10248.799999999999</v>
      </c>
    </row>
    <row r="360" spans="1:3" ht="15.75" thickBot="1" x14ac:dyDescent="0.25">
      <c r="A360" s="1138" t="s">
        <v>1164</v>
      </c>
      <c r="B360" s="1139" t="s">
        <v>437</v>
      </c>
      <c r="C360" s="1161">
        <v>10120</v>
      </c>
    </row>
    <row r="361" spans="1:3" ht="15.75" thickBot="1" x14ac:dyDescent="0.25">
      <c r="A361" s="1138" t="s">
        <v>1802</v>
      </c>
      <c r="B361" s="1139" t="s">
        <v>437</v>
      </c>
      <c r="C361" s="1161">
        <v>10193.6</v>
      </c>
    </row>
    <row r="362" spans="1:3" ht="15.75" thickBot="1" x14ac:dyDescent="0.25">
      <c r="A362" s="1138" t="s">
        <v>1803</v>
      </c>
      <c r="B362" s="1139" t="s">
        <v>437</v>
      </c>
      <c r="C362" s="1161">
        <v>10064.799999999999</v>
      </c>
    </row>
    <row r="363" spans="1:3" ht="15.75" thickBot="1" x14ac:dyDescent="0.25">
      <c r="A363" s="1138" t="s">
        <v>1167</v>
      </c>
      <c r="B363" s="1139" t="s">
        <v>437</v>
      </c>
      <c r="C363" s="1161">
        <v>9807.2000000000007</v>
      </c>
    </row>
    <row r="364" spans="1:3" ht="15.75" thickBot="1" x14ac:dyDescent="0.25">
      <c r="A364" s="1138" t="s">
        <v>1168</v>
      </c>
      <c r="B364" s="1139" t="s">
        <v>437</v>
      </c>
      <c r="C364" s="1161">
        <v>9678.4</v>
      </c>
    </row>
    <row r="365" spans="1:3" ht="15.75" thickBot="1" x14ac:dyDescent="0.25">
      <c r="A365" s="1138" t="s">
        <v>1804</v>
      </c>
      <c r="B365" s="1139" t="s">
        <v>437</v>
      </c>
      <c r="C365" s="1161">
        <v>11826.6</v>
      </c>
    </row>
    <row r="366" spans="1:3" ht="15.75" thickBot="1" x14ac:dyDescent="0.25">
      <c r="A366" s="1138" t="s">
        <v>1170</v>
      </c>
      <c r="B366" s="1139" t="s">
        <v>437</v>
      </c>
      <c r="C366" s="1161">
        <v>11697.8</v>
      </c>
    </row>
    <row r="367" spans="1:3" ht="15.75" thickBot="1" x14ac:dyDescent="0.25">
      <c r="A367" s="1138" t="s">
        <v>1805</v>
      </c>
      <c r="B367" s="1139" t="s">
        <v>437</v>
      </c>
      <c r="C367" s="1161">
        <v>11615</v>
      </c>
    </row>
    <row r="368" spans="1:3" ht="15.75" thickBot="1" x14ac:dyDescent="0.25">
      <c r="A368" s="1138" t="s">
        <v>1806</v>
      </c>
      <c r="B368" s="1139" t="s">
        <v>437</v>
      </c>
      <c r="C368" s="1161">
        <v>11495.4</v>
      </c>
    </row>
    <row r="369" spans="1:3" ht="15.75" thickBot="1" x14ac:dyDescent="0.25">
      <c r="A369" s="1138" t="s">
        <v>1807</v>
      </c>
      <c r="B369" s="1139" t="s">
        <v>437</v>
      </c>
      <c r="C369" s="1161">
        <v>12134.8</v>
      </c>
    </row>
    <row r="370" spans="1:3" ht="15.75" thickBot="1" x14ac:dyDescent="0.25">
      <c r="A370" s="1138" t="s">
        <v>1808</v>
      </c>
      <c r="B370" s="1139" t="s">
        <v>437</v>
      </c>
      <c r="C370" s="1161">
        <v>12015.2</v>
      </c>
    </row>
    <row r="371" spans="1:3" ht="15.75" thickBot="1" x14ac:dyDescent="0.25">
      <c r="A371" s="1138" t="s">
        <v>1809</v>
      </c>
      <c r="B371" s="1139" t="s">
        <v>437</v>
      </c>
      <c r="C371" s="1161">
        <v>11932.4</v>
      </c>
    </row>
    <row r="372" spans="1:3" ht="15.75" thickBot="1" x14ac:dyDescent="0.25">
      <c r="A372" s="1138" t="s">
        <v>1810</v>
      </c>
      <c r="B372" s="1139" t="s">
        <v>437</v>
      </c>
      <c r="C372" s="1161">
        <v>11803.6</v>
      </c>
    </row>
    <row r="373" spans="1:3" ht="15.75" thickBot="1" x14ac:dyDescent="0.25">
      <c r="A373" s="1138" t="s">
        <v>1177</v>
      </c>
      <c r="B373" s="1139" t="s">
        <v>437</v>
      </c>
      <c r="C373" s="1161">
        <v>11449.4</v>
      </c>
    </row>
    <row r="374" spans="1:3" ht="15.75" thickBot="1" x14ac:dyDescent="0.25">
      <c r="A374" s="1138" t="s">
        <v>1178</v>
      </c>
      <c r="B374" s="1139" t="s">
        <v>437</v>
      </c>
      <c r="C374" s="1161">
        <v>11306.8</v>
      </c>
    </row>
    <row r="375" spans="1:3" ht="15.75" thickBot="1" x14ac:dyDescent="0.25">
      <c r="A375" s="1138" t="s">
        <v>1179</v>
      </c>
      <c r="B375" s="1139" t="s">
        <v>437</v>
      </c>
      <c r="C375" s="1161">
        <v>11633.4</v>
      </c>
    </row>
    <row r="376" spans="1:3" ht="16.5" thickBot="1" x14ac:dyDescent="0.25">
      <c r="A376" s="2035" t="s">
        <v>1811</v>
      </c>
      <c r="B376" s="1996"/>
      <c r="C376" s="2036"/>
    </row>
    <row r="377" spans="1:3" ht="15.75" thickBot="1" x14ac:dyDescent="0.25">
      <c r="A377" s="1110" t="s">
        <v>1181</v>
      </c>
      <c r="B377" s="1111" t="s">
        <v>437</v>
      </c>
      <c r="C377" s="1162">
        <v>11490.8</v>
      </c>
    </row>
    <row r="378" spans="1:3" ht="15.75" thickBot="1" x14ac:dyDescent="0.25">
      <c r="A378" s="1110" t="s">
        <v>1182</v>
      </c>
      <c r="B378" s="1111" t="s">
        <v>437</v>
      </c>
      <c r="C378" s="1162">
        <v>10543.2</v>
      </c>
    </row>
    <row r="379" spans="1:3" ht="15.75" thickBot="1" x14ac:dyDescent="0.25">
      <c r="A379" s="1110" t="s">
        <v>1183</v>
      </c>
      <c r="B379" s="1111" t="s">
        <v>437</v>
      </c>
      <c r="C379" s="1162">
        <v>10414.4</v>
      </c>
    </row>
    <row r="380" spans="1:3" ht="15.75" thickBot="1" x14ac:dyDescent="0.25">
      <c r="A380" s="1110" t="s">
        <v>1184</v>
      </c>
      <c r="B380" s="1111" t="s">
        <v>437</v>
      </c>
      <c r="C380" s="1162">
        <v>9834.7999999999993</v>
      </c>
    </row>
    <row r="381" spans="1:3" ht="15.75" thickBot="1" x14ac:dyDescent="0.25">
      <c r="A381" s="1110" t="s">
        <v>1185</v>
      </c>
      <c r="B381" s="1111" t="s">
        <v>437</v>
      </c>
      <c r="C381" s="1162">
        <v>9706</v>
      </c>
    </row>
    <row r="382" spans="1:3" ht="15.75" thickBot="1" x14ac:dyDescent="0.25">
      <c r="A382" s="1110" t="s">
        <v>1812</v>
      </c>
      <c r="B382" s="1111" t="s">
        <v>437</v>
      </c>
      <c r="C382" s="1162">
        <v>10230.4</v>
      </c>
    </row>
    <row r="383" spans="1:3" ht="15.75" thickBot="1" x14ac:dyDescent="0.25">
      <c r="A383" s="1110" t="s">
        <v>1187</v>
      </c>
      <c r="B383" s="1111" t="s">
        <v>437</v>
      </c>
      <c r="C383" s="1162">
        <v>10101.6</v>
      </c>
    </row>
    <row r="384" spans="1:3" ht="15.75" thickBot="1" x14ac:dyDescent="0.25">
      <c r="A384" s="1110" t="s">
        <v>1188</v>
      </c>
      <c r="B384" s="1111" t="s">
        <v>437</v>
      </c>
      <c r="C384" s="1162">
        <v>12668.4</v>
      </c>
    </row>
    <row r="385" spans="1:3" ht="15.75" thickBot="1" x14ac:dyDescent="0.25">
      <c r="A385" s="1109" t="s">
        <v>1189</v>
      </c>
      <c r="B385" s="1111" t="s">
        <v>437</v>
      </c>
      <c r="C385" s="1163">
        <v>12535</v>
      </c>
    </row>
    <row r="386" spans="1:3" ht="15.75" thickBot="1" x14ac:dyDescent="0.25">
      <c r="A386" s="1109" t="s">
        <v>1190</v>
      </c>
      <c r="B386" s="1111" t="s">
        <v>437</v>
      </c>
      <c r="C386" s="1163">
        <v>11651.8</v>
      </c>
    </row>
    <row r="387" spans="1:3" ht="15.75" thickBot="1" x14ac:dyDescent="0.25">
      <c r="A387" s="1109" t="s">
        <v>1191</v>
      </c>
      <c r="B387" s="1111" t="s">
        <v>437</v>
      </c>
      <c r="C387" s="1163">
        <v>11518.4</v>
      </c>
    </row>
    <row r="388" spans="1:3" ht="15.75" thickBot="1" x14ac:dyDescent="0.25">
      <c r="A388" s="1109" t="s">
        <v>1192</v>
      </c>
      <c r="B388" s="1111" t="s">
        <v>437</v>
      </c>
      <c r="C388" s="1163">
        <v>10649</v>
      </c>
    </row>
    <row r="389" spans="1:3" ht="15.75" thickBot="1" x14ac:dyDescent="0.25">
      <c r="A389" s="1109" t="s">
        <v>1193</v>
      </c>
      <c r="B389" s="1111" t="s">
        <v>437</v>
      </c>
      <c r="C389" s="1163">
        <v>10520.2</v>
      </c>
    </row>
    <row r="390" spans="1:3" ht="15.75" thickBot="1" x14ac:dyDescent="0.25">
      <c r="A390" s="1107" t="s">
        <v>1194</v>
      </c>
      <c r="B390" s="1108" t="s">
        <v>437</v>
      </c>
      <c r="C390" s="1162">
        <v>10584.6</v>
      </c>
    </row>
    <row r="391" spans="1:3" ht="15.75" thickBot="1" x14ac:dyDescent="0.25">
      <c r="A391" s="1107" t="s">
        <v>1195</v>
      </c>
      <c r="B391" s="1108" t="s">
        <v>437</v>
      </c>
      <c r="C391" s="1162">
        <v>10455.799999999999</v>
      </c>
    </row>
    <row r="392" spans="1:3" ht="15.75" thickBot="1" x14ac:dyDescent="0.25">
      <c r="A392" s="1107" t="s">
        <v>1196</v>
      </c>
      <c r="B392" s="1108" t="s">
        <v>437</v>
      </c>
      <c r="C392" s="1162">
        <v>10396</v>
      </c>
    </row>
    <row r="393" spans="1:3" ht="15.75" thickBot="1" x14ac:dyDescent="0.25">
      <c r="A393" s="1107" t="s">
        <v>1197</v>
      </c>
      <c r="B393" s="1108" t="s">
        <v>437</v>
      </c>
      <c r="C393" s="1162">
        <v>17856</v>
      </c>
    </row>
    <row r="394" spans="1:3" ht="15.75" thickBot="1" x14ac:dyDescent="0.25">
      <c r="A394" s="1107" t="s">
        <v>1198</v>
      </c>
      <c r="B394" s="1108" t="s">
        <v>437</v>
      </c>
      <c r="C394" s="1162">
        <v>6360</v>
      </c>
    </row>
    <row r="395" spans="1:3" ht="15.75" thickBot="1" x14ac:dyDescent="0.25">
      <c r="A395" s="1107" t="s">
        <v>1199</v>
      </c>
      <c r="B395" s="1108" t="s">
        <v>437</v>
      </c>
      <c r="C395" s="1162">
        <v>6136</v>
      </c>
    </row>
    <row r="396" spans="1:3" ht="15.75" thickBot="1" x14ac:dyDescent="0.25">
      <c r="A396" s="1107" t="s">
        <v>1197</v>
      </c>
      <c r="B396" s="1108" t="s">
        <v>437</v>
      </c>
      <c r="C396" s="1162">
        <v>10267.200000000001</v>
      </c>
    </row>
    <row r="397" spans="1:3" ht="15.75" thickBot="1" x14ac:dyDescent="0.25">
      <c r="A397" s="1107" t="s">
        <v>1198</v>
      </c>
      <c r="B397" s="1108" t="s">
        <v>437</v>
      </c>
      <c r="C397" s="1162">
        <v>3657</v>
      </c>
    </row>
    <row r="398" spans="1:3" ht="15.75" thickBot="1" x14ac:dyDescent="0.25">
      <c r="A398" s="1107" t="s">
        <v>1199</v>
      </c>
      <c r="B398" s="1108" t="s">
        <v>437</v>
      </c>
      <c r="C398" s="1162">
        <v>3528.2</v>
      </c>
    </row>
    <row r="399" spans="1:3" ht="15.75" thickBot="1" x14ac:dyDescent="0.25">
      <c r="A399" s="1107" t="s">
        <v>1200</v>
      </c>
      <c r="B399" s="1108" t="s">
        <v>437</v>
      </c>
      <c r="C399" s="1162">
        <v>12153.2</v>
      </c>
    </row>
    <row r="400" spans="1:3" ht="15.75" thickBot="1" x14ac:dyDescent="0.25">
      <c r="A400" s="1107" t="s">
        <v>1813</v>
      </c>
      <c r="B400" s="1108" t="s">
        <v>437</v>
      </c>
      <c r="C400" s="1162">
        <v>12024.4</v>
      </c>
    </row>
    <row r="401" spans="1:3" ht="15.75" thickBot="1" x14ac:dyDescent="0.25">
      <c r="A401" s="1107" t="s">
        <v>1202</v>
      </c>
      <c r="B401" s="1108" t="s">
        <v>437</v>
      </c>
      <c r="C401" s="1162">
        <v>6900</v>
      </c>
    </row>
    <row r="402" spans="1:3" ht="15.75" thickBot="1" x14ac:dyDescent="0.25">
      <c r="A402" s="1107" t="s">
        <v>1203</v>
      </c>
      <c r="B402" s="1108" t="s">
        <v>437</v>
      </c>
      <c r="C402" s="1162">
        <v>8280</v>
      </c>
    </row>
    <row r="403" spans="1:3" ht="16.5" thickBot="1" x14ac:dyDescent="0.25">
      <c r="A403" s="2037" t="s">
        <v>1814</v>
      </c>
      <c r="B403" s="2038"/>
      <c r="C403" s="2039"/>
    </row>
    <row r="404" spans="1:3" ht="15.75" thickBot="1" x14ac:dyDescent="0.25">
      <c r="A404" s="1140" t="s">
        <v>1205</v>
      </c>
      <c r="B404" s="1141" t="s">
        <v>949</v>
      </c>
      <c r="C404" s="1164">
        <v>23</v>
      </c>
    </row>
    <row r="405" spans="1:3" ht="15.75" thickBot="1" x14ac:dyDescent="0.25">
      <c r="A405" s="1140" t="s">
        <v>1207</v>
      </c>
      <c r="B405" s="1141" t="s">
        <v>949</v>
      </c>
      <c r="C405" s="1164">
        <v>20.7</v>
      </c>
    </row>
    <row r="406" spans="1:3" ht="15.75" thickBot="1" x14ac:dyDescent="0.25">
      <c r="A406" s="1140" t="s">
        <v>1208</v>
      </c>
      <c r="B406" s="1141" t="s">
        <v>949</v>
      </c>
      <c r="C406" s="1164">
        <v>23</v>
      </c>
    </row>
    <row r="407" spans="1:3" ht="15.75" thickBot="1" x14ac:dyDescent="0.25">
      <c r="A407" s="1140" t="s">
        <v>1209</v>
      </c>
      <c r="B407" s="1141" t="s">
        <v>949</v>
      </c>
      <c r="C407" s="1164">
        <v>92</v>
      </c>
    </row>
    <row r="408" spans="1:3" ht="15.75" thickBot="1" x14ac:dyDescent="0.25">
      <c r="A408" s="1140" t="s">
        <v>1210</v>
      </c>
      <c r="B408" s="1141" t="s">
        <v>949</v>
      </c>
      <c r="C408" s="1164">
        <v>69</v>
      </c>
    </row>
    <row r="409" spans="1:3" ht="15.75" thickBot="1" x14ac:dyDescent="0.25">
      <c r="A409" s="1140" t="s">
        <v>1211</v>
      </c>
      <c r="B409" s="1141" t="s">
        <v>949</v>
      </c>
      <c r="C409" s="1164">
        <v>55.2</v>
      </c>
    </row>
    <row r="410" spans="1:3" ht="15.75" thickBot="1" x14ac:dyDescent="0.25">
      <c r="A410" s="1140" t="s">
        <v>1212</v>
      </c>
      <c r="B410" s="1141" t="s">
        <v>949</v>
      </c>
      <c r="C410" s="1164">
        <v>23</v>
      </c>
    </row>
    <row r="411" spans="1:3" ht="15.75" thickBot="1" x14ac:dyDescent="0.25">
      <c r="A411" s="1140" t="s">
        <v>1213</v>
      </c>
      <c r="B411" s="1141" t="s">
        <v>949</v>
      </c>
      <c r="C411" s="1164">
        <v>92</v>
      </c>
    </row>
    <row r="412" spans="1:3" ht="15.75" thickBot="1" x14ac:dyDescent="0.25">
      <c r="A412" s="1140" t="s">
        <v>1214</v>
      </c>
      <c r="B412" s="1141" t="s">
        <v>949</v>
      </c>
      <c r="C412" s="1164">
        <v>69</v>
      </c>
    </row>
    <row r="413" spans="1:3" ht="15.75" thickBot="1" x14ac:dyDescent="0.25">
      <c r="A413" s="1140" t="s">
        <v>1215</v>
      </c>
      <c r="B413" s="1141" t="s">
        <v>949</v>
      </c>
      <c r="C413" s="1164">
        <v>27.6</v>
      </c>
    </row>
    <row r="414" spans="1:3" ht="15.75" thickBot="1" x14ac:dyDescent="0.25">
      <c r="A414" s="1140" t="s">
        <v>1216</v>
      </c>
      <c r="B414" s="1141" t="s">
        <v>949</v>
      </c>
      <c r="C414" s="1164">
        <v>46</v>
      </c>
    </row>
    <row r="415" spans="1:3" ht="15.75" thickBot="1" x14ac:dyDescent="0.25">
      <c r="A415" s="1140" t="s">
        <v>1217</v>
      </c>
      <c r="B415" s="1141" t="s">
        <v>949</v>
      </c>
      <c r="C415" s="1164">
        <v>168.36</v>
      </c>
    </row>
    <row r="416" spans="1:3" ht="15.75" thickBot="1" x14ac:dyDescent="0.25">
      <c r="A416" s="1140" t="s">
        <v>1218</v>
      </c>
      <c r="B416" s="1141" t="s">
        <v>949</v>
      </c>
      <c r="C416" s="1164">
        <v>138</v>
      </c>
    </row>
    <row r="417" spans="1:3" ht="15.75" thickBot="1" x14ac:dyDescent="0.25">
      <c r="A417" s="1140" t="s">
        <v>1815</v>
      </c>
      <c r="B417" s="1141" t="s">
        <v>949</v>
      </c>
      <c r="C417" s="1164">
        <v>36.799999999999997</v>
      </c>
    </row>
    <row r="418" spans="1:3" ht="15.75" thickBot="1" x14ac:dyDescent="0.25">
      <c r="A418" s="1140" t="s">
        <v>1220</v>
      </c>
      <c r="B418" s="1141" t="s">
        <v>949</v>
      </c>
      <c r="C418" s="1164">
        <v>69</v>
      </c>
    </row>
    <row r="419" spans="1:3" ht="15.75" thickBot="1" x14ac:dyDescent="0.25">
      <c r="A419" s="1140" t="s">
        <v>1221</v>
      </c>
      <c r="B419" s="1141" t="s">
        <v>949</v>
      </c>
      <c r="C419" s="1164">
        <v>146.56</v>
      </c>
    </row>
    <row r="420" spans="1:3" ht="15.75" thickBot="1" x14ac:dyDescent="0.25">
      <c r="A420" s="1140" t="s">
        <v>1222</v>
      </c>
      <c r="B420" s="1141" t="s">
        <v>949</v>
      </c>
      <c r="C420" s="1164">
        <v>322</v>
      </c>
    </row>
    <row r="421" spans="1:3" ht="15.75" thickBot="1" x14ac:dyDescent="0.25">
      <c r="A421" s="1140" t="s">
        <v>1223</v>
      </c>
      <c r="B421" s="1141" t="s">
        <v>949</v>
      </c>
      <c r="C421" s="1164">
        <v>46</v>
      </c>
    </row>
    <row r="422" spans="1:3" ht="15.75" thickBot="1" x14ac:dyDescent="0.25">
      <c r="A422" s="1140" t="s">
        <v>1224</v>
      </c>
      <c r="B422" s="1141" t="s">
        <v>949</v>
      </c>
      <c r="C422" s="1164">
        <v>138</v>
      </c>
    </row>
    <row r="423" spans="1:3" ht="15.75" thickBot="1" x14ac:dyDescent="0.25">
      <c r="A423" s="1140" t="s">
        <v>1225</v>
      </c>
      <c r="B423" s="1141" t="s">
        <v>949</v>
      </c>
      <c r="C423" s="1164">
        <v>36.799999999999997</v>
      </c>
    </row>
    <row r="424" spans="1:3" ht="15.75" thickBot="1" x14ac:dyDescent="0.25">
      <c r="A424" s="1140" t="s">
        <v>1226</v>
      </c>
      <c r="B424" s="1141" t="s">
        <v>949</v>
      </c>
      <c r="C424" s="1164">
        <v>55.2</v>
      </c>
    </row>
    <row r="425" spans="1:3" ht="15.75" thickBot="1" x14ac:dyDescent="0.25">
      <c r="A425" s="1140" t="s">
        <v>1227</v>
      </c>
      <c r="B425" s="1141" t="s">
        <v>949</v>
      </c>
      <c r="C425" s="1164">
        <v>23</v>
      </c>
    </row>
    <row r="426" spans="1:3" ht="15.75" thickBot="1" x14ac:dyDescent="0.25">
      <c r="A426" s="1140" t="s">
        <v>1228</v>
      </c>
      <c r="B426" s="1141" t="s">
        <v>949</v>
      </c>
      <c r="C426" s="1164">
        <v>69</v>
      </c>
    </row>
    <row r="427" spans="1:3" ht="15.75" thickBot="1" x14ac:dyDescent="0.25">
      <c r="A427" s="1140" t="s">
        <v>1230</v>
      </c>
      <c r="B427" s="1141" t="s">
        <v>949</v>
      </c>
      <c r="C427" s="1164">
        <v>328.99</v>
      </c>
    </row>
    <row r="428" spans="1:3" ht="15.75" thickBot="1" x14ac:dyDescent="0.25">
      <c r="A428" s="1140" t="s">
        <v>1816</v>
      </c>
      <c r="B428" s="1141" t="s">
        <v>949</v>
      </c>
      <c r="C428" s="1164">
        <v>230</v>
      </c>
    </row>
    <row r="429" spans="1:3" ht="15.75" thickBot="1" x14ac:dyDescent="0.25">
      <c r="A429" s="1140" t="s">
        <v>1232</v>
      </c>
      <c r="B429" s="1141" t="s">
        <v>949</v>
      </c>
      <c r="C429" s="1164">
        <v>184</v>
      </c>
    </row>
    <row r="430" spans="1:3" ht="15.75" thickBot="1" x14ac:dyDescent="0.25">
      <c r="A430" s="1140" t="s">
        <v>1233</v>
      </c>
      <c r="B430" s="1141" t="s">
        <v>949</v>
      </c>
      <c r="C430" s="1164">
        <v>138</v>
      </c>
    </row>
    <row r="431" spans="1:3" ht="15.75" thickBot="1" x14ac:dyDescent="0.25">
      <c r="A431" s="1140" t="s">
        <v>1234</v>
      </c>
      <c r="B431" s="1141" t="s">
        <v>949</v>
      </c>
      <c r="C431" s="1164">
        <v>184</v>
      </c>
    </row>
    <row r="432" spans="1:3" ht="15.75" thickBot="1" x14ac:dyDescent="0.25">
      <c r="A432" s="1140" t="s">
        <v>1235</v>
      </c>
      <c r="B432" s="1141" t="s">
        <v>949</v>
      </c>
      <c r="C432" s="1164">
        <v>69</v>
      </c>
    </row>
    <row r="433" spans="1:3" ht="15.75" thickBot="1" x14ac:dyDescent="0.25">
      <c r="A433" s="1140" t="s">
        <v>1236</v>
      </c>
      <c r="B433" s="1141" t="s">
        <v>949</v>
      </c>
      <c r="C433" s="1164">
        <v>55.2</v>
      </c>
    </row>
    <row r="434" spans="1:3" ht="15.75" thickBot="1" x14ac:dyDescent="0.25">
      <c r="A434" s="1140" t="s">
        <v>1237</v>
      </c>
      <c r="B434" s="1141" t="s">
        <v>949</v>
      </c>
      <c r="C434" s="1164">
        <v>69</v>
      </c>
    </row>
    <row r="435" spans="1:3" ht="15.75" thickBot="1" x14ac:dyDescent="0.25">
      <c r="A435" s="1140" t="s">
        <v>1239</v>
      </c>
      <c r="B435" s="1141" t="s">
        <v>949</v>
      </c>
      <c r="C435" s="1164">
        <v>36.799999999999997</v>
      </c>
    </row>
    <row r="436" spans="1:3" ht="15.75" thickBot="1" x14ac:dyDescent="0.25">
      <c r="A436" s="1140" t="s">
        <v>1240</v>
      </c>
      <c r="B436" s="1141" t="s">
        <v>949</v>
      </c>
      <c r="C436" s="1164">
        <v>69</v>
      </c>
    </row>
    <row r="437" spans="1:3" ht="15.75" thickBot="1" x14ac:dyDescent="0.25">
      <c r="A437" s="1140" t="s">
        <v>1241</v>
      </c>
      <c r="B437" s="1141" t="s">
        <v>949</v>
      </c>
      <c r="C437" s="1164">
        <v>69</v>
      </c>
    </row>
    <row r="438" spans="1:3" ht="15.75" thickBot="1" x14ac:dyDescent="0.25">
      <c r="A438" s="1140" t="s">
        <v>1242</v>
      </c>
      <c r="B438" s="1141" t="s">
        <v>949</v>
      </c>
      <c r="C438" s="1164">
        <v>69</v>
      </c>
    </row>
    <row r="439" spans="1:3" ht="15.75" thickBot="1" x14ac:dyDescent="0.25">
      <c r="A439" s="1140" t="s">
        <v>1243</v>
      </c>
      <c r="B439" s="1141" t="s">
        <v>949</v>
      </c>
      <c r="C439" s="1164">
        <v>69</v>
      </c>
    </row>
    <row r="440" spans="1:3" x14ac:dyDescent="0.2">
      <c r="A440" s="1142" t="s">
        <v>1817</v>
      </c>
      <c r="B440" s="2043" t="s">
        <v>949</v>
      </c>
      <c r="C440" s="2025">
        <v>55.2</v>
      </c>
    </row>
    <row r="441" spans="1:3" ht="15.75" thickBot="1" x14ac:dyDescent="0.25">
      <c r="A441" s="1143" t="s">
        <v>1818</v>
      </c>
      <c r="B441" s="2044"/>
      <c r="C441" s="2026"/>
    </row>
    <row r="442" spans="1:3" x14ac:dyDescent="0.2">
      <c r="A442" s="1142" t="s">
        <v>1819</v>
      </c>
      <c r="B442" s="2043" t="s">
        <v>949</v>
      </c>
      <c r="C442" s="2025">
        <v>69</v>
      </c>
    </row>
    <row r="443" spans="1:3" ht="15.75" thickBot="1" x14ac:dyDescent="0.25">
      <c r="A443" s="1143" t="s">
        <v>1818</v>
      </c>
      <c r="B443" s="2044"/>
      <c r="C443" s="2026"/>
    </row>
    <row r="444" spans="1:3" ht="15.75" thickBot="1" x14ac:dyDescent="0.25">
      <c r="A444" s="1143" t="s">
        <v>1246</v>
      </c>
      <c r="B444" s="1144" t="s">
        <v>949</v>
      </c>
      <c r="C444" s="1165">
        <v>138</v>
      </c>
    </row>
    <row r="445" spans="1:3" ht="15.75" thickBot="1" x14ac:dyDescent="0.25">
      <c r="A445" s="1143" t="s">
        <v>1820</v>
      </c>
      <c r="B445" s="1144" t="s">
        <v>949</v>
      </c>
      <c r="C445" s="1165">
        <v>82.8</v>
      </c>
    </row>
    <row r="446" spans="1:3" x14ac:dyDescent="0.2">
      <c r="A446" s="1142" t="s">
        <v>1821</v>
      </c>
      <c r="B446" s="2043" t="s">
        <v>949</v>
      </c>
      <c r="C446" s="2025">
        <v>253</v>
      </c>
    </row>
    <row r="447" spans="1:3" ht="15.75" thickBot="1" x14ac:dyDescent="0.25">
      <c r="A447" s="1143" t="s">
        <v>1822</v>
      </c>
      <c r="B447" s="2044"/>
      <c r="C447" s="2026"/>
    </row>
    <row r="448" spans="1:3" ht="15.75" thickBot="1" x14ac:dyDescent="0.25">
      <c r="A448" s="1143" t="s">
        <v>1823</v>
      </c>
      <c r="B448" s="1144" t="s">
        <v>949</v>
      </c>
      <c r="C448" s="1165">
        <v>138</v>
      </c>
    </row>
    <row r="449" spans="1:3" ht="15.75" thickBot="1" x14ac:dyDescent="0.25">
      <c r="A449" s="1143" t="s">
        <v>1824</v>
      </c>
      <c r="B449" s="1144" t="s">
        <v>949</v>
      </c>
      <c r="C449" s="1165">
        <v>184</v>
      </c>
    </row>
    <row r="450" spans="1:3" ht="15.75" thickBot="1" x14ac:dyDescent="0.25">
      <c r="A450" s="1143" t="s">
        <v>1824</v>
      </c>
      <c r="B450" s="1144" t="s">
        <v>949</v>
      </c>
      <c r="C450" s="1165">
        <v>184</v>
      </c>
    </row>
    <row r="451" spans="1:3" ht="15.75" thickBot="1" x14ac:dyDescent="0.25">
      <c r="A451" s="1143" t="s">
        <v>1825</v>
      </c>
      <c r="B451" s="1144" t="s">
        <v>949</v>
      </c>
      <c r="C451" s="1165">
        <v>184</v>
      </c>
    </row>
    <row r="452" spans="1:3" ht="15.75" thickBot="1" x14ac:dyDescent="0.25">
      <c r="A452" s="1143" t="s">
        <v>1826</v>
      </c>
      <c r="B452" s="1144" t="s">
        <v>949</v>
      </c>
      <c r="C452" s="1165">
        <v>55.2</v>
      </c>
    </row>
    <row r="453" spans="1:3" x14ac:dyDescent="0.2">
      <c r="A453" s="1142" t="s">
        <v>1827</v>
      </c>
      <c r="B453" s="2043" t="s">
        <v>949</v>
      </c>
      <c r="C453" s="2025">
        <v>253</v>
      </c>
    </row>
    <row r="454" spans="1:3" ht="15.75" thickBot="1" x14ac:dyDescent="0.25">
      <c r="A454" s="1143" t="s">
        <v>1828</v>
      </c>
      <c r="B454" s="2044"/>
      <c r="C454" s="2026"/>
    </row>
    <row r="455" spans="1:3" x14ac:dyDescent="0.2">
      <c r="A455" s="1142" t="s">
        <v>1829</v>
      </c>
      <c r="B455" s="2043" t="s">
        <v>949</v>
      </c>
      <c r="C455" s="2025">
        <v>184</v>
      </c>
    </row>
    <row r="456" spans="1:3" ht="15.75" thickBot="1" x14ac:dyDescent="0.25">
      <c r="A456" s="1143" t="s">
        <v>1830</v>
      </c>
      <c r="B456" s="2044"/>
      <c r="C456" s="2026"/>
    </row>
    <row r="457" spans="1:3" ht="15.75" thickBot="1" x14ac:dyDescent="0.25">
      <c r="A457" s="1145" t="s">
        <v>1831</v>
      </c>
      <c r="B457" s="1144" t="s">
        <v>949</v>
      </c>
      <c r="C457" s="1164">
        <v>207</v>
      </c>
    </row>
    <row r="458" spans="1:3" ht="15.75" thickBot="1" x14ac:dyDescent="0.25">
      <c r="A458" s="1145" t="s">
        <v>1256</v>
      </c>
      <c r="B458" s="1144" t="s">
        <v>949</v>
      </c>
      <c r="C458" s="1164">
        <v>184</v>
      </c>
    </row>
    <row r="459" spans="1:3" ht="15.75" thickBot="1" x14ac:dyDescent="0.25">
      <c r="A459" s="1145" t="s">
        <v>1832</v>
      </c>
      <c r="B459" s="1144" t="s">
        <v>949</v>
      </c>
      <c r="C459" s="1164">
        <v>184</v>
      </c>
    </row>
    <row r="460" spans="1:3" ht="15.75" thickBot="1" x14ac:dyDescent="0.25">
      <c r="A460" s="1145" t="s">
        <v>1833</v>
      </c>
      <c r="B460" s="1144" t="s">
        <v>949</v>
      </c>
      <c r="C460" s="1164">
        <v>161</v>
      </c>
    </row>
    <row r="461" spans="1:3" ht="15.75" thickBot="1" x14ac:dyDescent="0.25">
      <c r="A461" s="1145" t="s">
        <v>1835</v>
      </c>
      <c r="B461" s="1144" t="s">
        <v>949</v>
      </c>
      <c r="C461" s="1164">
        <v>253</v>
      </c>
    </row>
    <row r="462" spans="1:3" ht="15.75" thickBot="1" x14ac:dyDescent="0.25">
      <c r="A462" s="1145" t="s">
        <v>1260</v>
      </c>
      <c r="B462" s="1144" t="s">
        <v>949</v>
      </c>
      <c r="C462" s="1164">
        <v>124.2</v>
      </c>
    </row>
    <row r="463" spans="1:3" ht="15.75" thickBot="1" x14ac:dyDescent="0.25">
      <c r="A463" s="1145" t="s">
        <v>1261</v>
      </c>
      <c r="B463" s="1144" t="s">
        <v>949</v>
      </c>
      <c r="C463" s="1164">
        <v>41.4</v>
      </c>
    </row>
    <row r="464" spans="1:3" ht="16.5" thickBot="1" x14ac:dyDescent="0.25">
      <c r="A464" s="2040" t="s">
        <v>1263</v>
      </c>
      <c r="B464" s="2041"/>
      <c r="C464" s="2042"/>
    </row>
    <row r="465" spans="1:3" ht="15.75" thickBot="1" x14ac:dyDescent="0.25">
      <c r="A465" s="1146" t="s">
        <v>1264</v>
      </c>
      <c r="B465" s="1147" t="s">
        <v>949</v>
      </c>
      <c r="C465" s="1166">
        <v>59440</v>
      </c>
    </row>
    <row r="466" spans="1:3" ht="15.75" thickBot="1" x14ac:dyDescent="0.25">
      <c r="A466" s="1146" t="s">
        <v>1265</v>
      </c>
      <c r="B466" s="1147" t="s">
        <v>949</v>
      </c>
      <c r="C466" s="1166">
        <v>28000</v>
      </c>
    </row>
    <row r="467" spans="1:3" ht="15.75" thickBot="1" x14ac:dyDescent="0.25">
      <c r="A467" s="1146" t="s">
        <v>1266</v>
      </c>
      <c r="B467" s="1147" t="s">
        <v>949</v>
      </c>
      <c r="C467" s="1166">
        <v>51711.6</v>
      </c>
    </row>
    <row r="468" spans="1:3" ht="15.75" thickBot="1" x14ac:dyDescent="0.25">
      <c r="A468" s="1146" t="s">
        <v>1267</v>
      </c>
      <c r="B468" s="1147" t="s">
        <v>949</v>
      </c>
      <c r="C468" s="1166">
        <v>39352.800000000003</v>
      </c>
    </row>
    <row r="469" spans="1:3" ht="15.75" thickBot="1" x14ac:dyDescent="0.25">
      <c r="A469" s="1146" t="s">
        <v>1834</v>
      </c>
      <c r="B469" s="1147" t="s">
        <v>949</v>
      </c>
      <c r="C469" s="1166">
        <v>22880</v>
      </c>
    </row>
    <row r="470" spans="1:3" ht="15.75" thickBot="1" x14ac:dyDescent="0.25">
      <c r="A470" s="1148" t="s">
        <v>1270</v>
      </c>
      <c r="B470" s="1147" t="s">
        <v>949</v>
      </c>
      <c r="C470" s="1167">
        <v>4120</v>
      </c>
    </row>
    <row r="471" spans="1:3" ht="15.75" thickBot="1" x14ac:dyDescent="0.25">
      <c r="A471" s="1148" t="s">
        <v>1271</v>
      </c>
      <c r="B471" s="1147" t="s">
        <v>949</v>
      </c>
      <c r="C471" s="1167">
        <v>8785.2000000000007</v>
      </c>
    </row>
    <row r="472" spans="1:3" ht="15.75" thickBot="1" x14ac:dyDescent="0.25">
      <c r="A472" s="1148" t="s">
        <v>1273</v>
      </c>
      <c r="B472" s="1147" t="s">
        <v>949</v>
      </c>
      <c r="C472" s="1167">
        <v>7920</v>
      </c>
    </row>
    <row r="473" spans="1:3" ht="15.75" thickBot="1" x14ac:dyDescent="0.25">
      <c r="A473" s="1148" t="s">
        <v>1274</v>
      </c>
      <c r="B473" s="1147" t="s">
        <v>949</v>
      </c>
      <c r="C473" s="1167">
        <v>6088</v>
      </c>
    </row>
    <row r="474" spans="1:3" ht="15.75" thickBot="1" x14ac:dyDescent="0.25">
      <c r="A474" s="1148" t="s">
        <v>1275</v>
      </c>
      <c r="B474" s="1147" t="s">
        <v>949</v>
      </c>
      <c r="C474" s="1167">
        <v>6000</v>
      </c>
    </row>
    <row r="475" spans="1:3" ht="15.75" thickBot="1" x14ac:dyDescent="0.25">
      <c r="A475" s="1148" t="s">
        <v>1276</v>
      </c>
      <c r="B475" s="1147" t="s">
        <v>949</v>
      </c>
      <c r="C475" s="1167">
        <v>53800</v>
      </c>
    </row>
    <row r="476" spans="1:3" ht="15.75" thickBot="1" x14ac:dyDescent="0.25">
      <c r="A476" s="1148" t="s">
        <v>1277</v>
      </c>
      <c r="B476" s="1147" t="s">
        <v>949</v>
      </c>
      <c r="C476" s="1167">
        <v>64440</v>
      </c>
    </row>
    <row r="477" spans="1:3" ht="15.75" thickBot="1" x14ac:dyDescent="0.25">
      <c r="A477" s="1148" t="s">
        <v>1278</v>
      </c>
      <c r="B477" s="1147" t="s">
        <v>949</v>
      </c>
      <c r="C477" s="1167">
        <v>113720</v>
      </c>
    </row>
    <row r="478" spans="1:3" ht="15.75" thickBot="1" x14ac:dyDescent="0.25">
      <c r="A478" s="1148" t="s">
        <v>1278</v>
      </c>
      <c r="B478" s="1147" t="s">
        <v>949</v>
      </c>
      <c r="C478" s="1167">
        <v>137120</v>
      </c>
    </row>
  </sheetData>
  <autoFilter ref="A2:C478"/>
  <mergeCells count="40">
    <mergeCell ref="A464:C464"/>
    <mergeCell ref="B440:B441"/>
    <mergeCell ref="C440:C441"/>
    <mergeCell ref="B442:B443"/>
    <mergeCell ref="C442:C443"/>
    <mergeCell ref="B446:B447"/>
    <mergeCell ref="B453:B454"/>
    <mergeCell ref="C453:C454"/>
    <mergeCell ref="B455:B456"/>
    <mergeCell ref="C455:C456"/>
    <mergeCell ref="B225:B226"/>
    <mergeCell ref="C225:C226"/>
    <mergeCell ref="A227:A228"/>
    <mergeCell ref="A235:C235"/>
    <mergeCell ref="C446:C447"/>
    <mergeCell ref="A247:A248"/>
    <mergeCell ref="A256:A257"/>
    <mergeCell ref="A292:C292"/>
    <mergeCell ref="A348:C348"/>
    <mergeCell ref="A376:C376"/>
    <mergeCell ref="A403:C403"/>
    <mergeCell ref="B215:B216"/>
    <mergeCell ref="C215:C216"/>
    <mergeCell ref="A128:C128"/>
    <mergeCell ref="A129:A130"/>
    <mergeCell ref="A138:A139"/>
    <mergeCell ref="A141:A142"/>
    <mergeCell ref="A147:A148"/>
    <mergeCell ref="A178:C178"/>
    <mergeCell ref="B185:B186"/>
    <mergeCell ref="B187:B188"/>
    <mergeCell ref="C187:C188"/>
    <mergeCell ref="A198:A199"/>
    <mergeCell ref="A200:A201"/>
    <mergeCell ref="A120:C120"/>
    <mergeCell ref="A3:C3"/>
    <mergeCell ref="B43:B44"/>
    <mergeCell ref="C43:C44"/>
    <mergeCell ref="A48:C48"/>
    <mergeCell ref="A95:C95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opLeftCell="A25" workbookViewId="0">
      <selection activeCell="A25" sqref="A1:IV65536"/>
    </sheetView>
  </sheetViews>
  <sheetFormatPr baseColWidth="10" defaultColWidth="10.85546875" defaultRowHeight="15" x14ac:dyDescent="0.2"/>
  <cols>
    <col min="1" max="1" width="34.5703125" style="1181" customWidth="1"/>
    <col min="2" max="2" width="12.7109375" style="1102" customWidth="1"/>
    <col min="3" max="3" width="28" style="1187" customWidth="1"/>
    <col min="4" max="16384" width="10.85546875" style="5"/>
  </cols>
  <sheetData>
    <row r="1" spans="1:7" s="1176" customFormat="1" ht="28.9" customHeight="1" thickBot="1" x14ac:dyDescent="0.25">
      <c r="A1" s="1174" t="s">
        <v>246</v>
      </c>
      <c r="B1" s="1175" t="s">
        <v>226</v>
      </c>
      <c r="C1" s="1184" t="s">
        <v>1836</v>
      </c>
    </row>
    <row r="2" spans="1:7" ht="30.75" thickBot="1" x14ac:dyDescent="0.25">
      <c r="A2" s="1177" t="s">
        <v>1837</v>
      </c>
      <c r="B2" s="1111" t="s">
        <v>638</v>
      </c>
      <c r="C2" s="1185">
        <v>14.66</v>
      </c>
    </row>
    <row r="3" spans="1:7" ht="30.75" thickBot="1" x14ac:dyDescent="0.25">
      <c r="A3" s="1177" t="s">
        <v>1838</v>
      </c>
      <c r="B3" s="1111" t="s">
        <v>638</v>
      </c>
      <c r="C3" s="1185" t="s">
        <v>1839</v>
      </c>
    </row>
    <row r="4" spans="1:7" ht="30.75" thickBot="1" x14ac:dyDescent="0.25">
      <c r="A4" s="1177" t="s">
        <v>1840</v>
      </c>
      <c r="B4" s="1111" t="s">
        <v>638</v>
      </c>
      <c r="C4" s="1185" t="s">
        <v>1841</v>
      </c>
    </row>
    <row r="5" spans="1:7" ht="15.75" thickBot="1" x14ac:dyDescent="0.25">
      <c r="A5" s="1177" t="s">
        <v>1842</v>
      </c>
      <c r="B5" s="1111" t="s">
        <v>638</v>
      </c>
      <c r="C5" s="1185">
        <f>'DATOS (2)'!B16</f>
        <v>13.99</v>
      </c>
    </row>
    <row r="6" spans="1:7" ht="15.75" thickBot="1" x14ac:dyDescent="0.25">
      <c r="A6" s="1177" t="s">
        <v>1843</v>
      </c>
      <c r="B6" s="1111" t="s">
        <v>638</v>
      </c>
      <c r="C6" s="1185" t="s">
        <v>1844</v>
      </c>
    </row>
    <row r="7" spans="1:7" ht="30.75" thickBot="1" x14ac:dyDescent="0.25">
      <c r="A7" s="1177" t="s">
        <v>1845</v>
      </c>
      <c r="B7" s="1111" t="s">
        <v>638</v>
      </c>
      <c r="C7" s="1185" t="s">
        <v>1846</v>
      </c>
    </row>
    <row r="9" spans="1:7" s="1203" customFormat="1" x14ac:dyDescent="0.2">
      <c r="A9" s="1200" t="s">
        <v>463</v>
      </c>
      <c r="B9" s="1201"/>
      <c r="C9" s="1202">
        <v>26.85</v>
      </c>
    </row>
    <row r="10" spans="1:7" s="1203" customFormat="1" x14ac:dyDescent="0.2">
      <c r="A10" s="1200" t="s">
        <v>1853</v>
      </c>
      <c r="B10" s="1201"/>
      <c r="C10" s="1202">
        <v>26.85</v>
      </c>
    </row>
    <row r="11" spans="1:7" s="1203" customFormat="1" x14ac:dyDescent="0.2">
      <c r="A11" s="1200"/>
      <c r="B11" s="1201"/>
      <c r="C11" s="1202">
        <v>26.85</v>
      </c>
    </row>
    <row r="12" spans="1:7" s="1203" customFormat="1" x14ac:dyDescent="0.2">
      <c r="A12" s="1200"/>
      <c r="B12" s="1201"/>
      <c r="C12" s="1202">
        <v>26.85</v>
      </c>
    </row>
    <row r="13" spans="1:7" s="1203" customFormat="1" x14ac:dyDescent="0.2">
      <c r="A13" s="1200" t="s">
        <v>462</v>
      </c>
      <c r="B13" s="1201" t="s">
        <v>1848</v>
      </c>
      <c r="C13" s="1202">
        <v>15</v>
      </c>
      <c r="G13" s="1203">
        <f>8.95*3</f>
        <v>26.849999999999998</v>
      </c>
    </row>
    <row r="14" spans="1:7" s="1203" customFormat="1" x14ac:dyDescent="0.2">
      <c r="A14" s="1204" t="s">
        <v>574</v>
      </c>
      <c r="B14" s="1205"/>
      <c r="C14" s="1202">
        <v>15</v>
      </c>
    </row>
    <row r="15" spans="1:7" ht="48" customHeight="1" x14ac:dyDescent="0.2">
      <c r="A15" s="2053" t="s">
        <v>1850</v>
      </c>
      <c r="B15" s="2054"/>
      <c r="C15" s="2055"/>
    </row>
    <row r="16" spans="1:7" ht="30" x14ac:dyDescent="0.2">
      <c r="A16" s="1178" t="s">
        <v>1847</v>
      </c>
      <c r="B16" s="1171" t="s">
        <v>1851</v>
      </c>
      <c r="C16" s="637">
        <v>10.85</v>
      </c>
      <c r="D16" s="7">
        <f>C16*1000</f>
        <v>10850</v>
      </c>
    </row>
    <row r="17" spans="1:7" ht="30" x14ac:dyDescent="0.2">
      <c r="A17" s="1178" t="s">
        <v>1849</v>
      </c>
      <c r="B17" s="1171" t="s">
        <v>1851</v>
      </c>
      <c r="C17" s="637">
        <v>21</v>
      </c>
      <c r="D17" s="7">
        <f>C17*1000</f>
        <v>21000</v>
      </c>
    </row>
    <row r="18" spans="1:7" x14ac:dyDescent="0.2">
      <c r="A18" s="1179"/>
      <c r="B18" s="1180"/>
      <c r="C18" s="1186"/>
    </row>
    <row r="19" spans="1:7" ht="15.75" x14ac:dyDescent="0.25">
      <c r="A19" s="1178" t="s">
        <v>283</v>
      </c>
      <c r="B19" s="1171" t="s">
        <v>1857</v>
      </c>
      <c r="C19" s="637">
        <v>86.4</v>
      </c>
    </row>
    <row r="20" spans="1:7" x14ac:dyDescent="0.2">
      <c r="A20" s="1178" t="s">
        <v>983</v>
      </c>
      <c r="B20" s="1171" t="s">
        <v>949</v>
      </c>
      <c r="C20" s="637">
        <v>7.2</v>
      </c>
    </row>
    <row r="21" spans="1:7" x14ac:dyDescent="0.2">
      <c r="A21" s="1178" t="s">
        <v>1856</v>
      </c>
      <c r="B21" s="1171" t="s">
        <v>949</v>
      </c>
      <c r="C21" s="637">
        <v>3</v>
      </c>
    </row>
    <row r="22" spans="1:7" x14ac:dyDescent="0.2">
      <c r="A22" s="1178"/>
      <c r="B22" s="1171"/>
      <c r="C22" s="637"/>
    </row>
    <row r="23" spans="1:7" x14ac:dyDescent="0.2">
      <c r="A23" s="1178"/>
      <c r="B23" s="1171"/>
      <c r="C23" s="637"/>
    </row>
    <row r="24" spans="1:7" x14ac:dyDescent="0.2">
      <c r="A24" s="1178"/>
      <c r="B24" s="1171"/>
      <c r="C24" s="637"/>
    </row>
    <row r="25" spans="1:7" x14ac:dyDescent="0.2">
      <c r="A25" s="1178"/>
      <c r="B25" s="1171"/>
      <c r="C25" s="637"/>
    </row>
    <row r="26" spans="1:7" ht="15.75" thickBot="1" x14ac:dyDescent="0.25"/>
    <row r="27" spans="1:7" ht="31.5" x14ac:dyDescent="0.25">
      <c r="A27" s="1229" t="s">
        <v>1858</v>
      </c>
      <c r="B27" s="1230"/>
      <c r="C27" s="1231" t="s">
        <v>226</v>
      </c>
      <c r="D27" s="1223" t="s">
        <v>1859</v>
      </c>
      <c r="E27" s="1223" t="s">
        <v>1859</v>
      </c>
      <c r="F27" s="1224"/>
    </row>
    <row r="28" spans="1:7" ht="15.75" x14ac:dyDescent="0.25">
      <c r="A28" s="1232"/>
      <c r="B28" s="1227"/>
      <c r="C28" s="1228"/>
      <c r="D28" s="2045" t="s">
        <v>1860</v>
      </c>
      <c r="E28" s="2045" t="s">
        <v>1860</v>
      </c>
      <c r="F28" s="1224"/>
    </row>
    <row r="29" spans="1:7" ht="16.5" thickBot="1" x14ac:dyDescent="0.3">
      <c r="A29" s="1225"/>
      <c r="B29" s="1226"/>
      <c r="C29" s="1226"/>
      <c r="D29" s="2046"/>
      <c r="E29" s="2046"/>
      <c r="F29" s="1224"/>
    </row>
    <row r="30" spans="1:7" ht="31.15" customHeight="1" thickBot="1" x14ac:dyDescent="0.3">
      <c r="A30" s="2047" t="s">
        <v>1864</v>
      </c>
      <c r="B30" s="2048"/>
      <c r="C30" s="2048"/>
      <c r="D30" s="2048"/>
      <c r="E30" s="2049"/>
      <c r="F30" s="1224"/>
    </row>
    <row r="31" spans="1:7" ht="15.4" customHeight="1" x14ac:dyDescent="0.25">
      <c r="A31" s="1582" t="s">
        <v>1861</v>
      </c>
      <c r="B31" s="1583"/>
      <c r="C31" s="1584" t="s">
        <v>1862</v>
      </c>
      <c r="D31" s="1585">
        <v>3383.4</v>
      </c>
      <c r="E31" s="1586">
        <v>3383.4</v>
      </c>
      <c r="F31" s="1224"/>
    </row>
    <row r="32" spans="1:7" ht="15.4" customHeight="1" x14ac:dyDescent="0.25">
      <c r="A32" s="1587" t="s">
        <v>329</v>
      </c>
      <c r="B32" s="1588"/>
      <c r="C32" s="1589" t="s">
        <v>1862</v>
      </c>
      <c r="D32" s="1590">
        <v>3424</v>
      </c>
      <c r="E32" s="1591">
        <v>3424</v>
      </c>
      <c r="F32" s="1598">
        <f>'DATOS (2)'!B15</f>
        <v>1.85</v>
      </c>
      <c r="G32" s="1597" t="s">
        <v>2005</v>
      </c>
    </row>
    <row r="33" spans="1:6" ht="15.4" customHeight="1" thickBot="1" x14ac:dyDescent="0.3">
      <c r="A33" s="1592" t="s">
        <v>1863</v>
      </c>
      <c r="B33" s="1593"/>
      <c r="C33" s="1594" t="s">
        <v>1862</v>
      </c>
      <c r="D33" s="1595">
        <v>3881.3</v>
      </c>
      <c r="E33" s="1596">
        <v>3881.3</v>
      </c>
      <c r="F33" s="1224"/>
    </row>
    <row r="34" spans="1:6" ht="15.75" thickBot="1" x14ac:dyDescent="0.25"/>
    <row r="35" spans="1:6" x14ac:dyDescent="0.2">
      <c r="A35" s="2050" t="s">
        <v>1865</v>
      </c>
      <c r="B35" s="2051"/>
      <c r="C35" s="2051"/>
      <c r="D35" s="2051"/>
      <c r="E35" s="2052"/>
    </row>
    <row r="36" spans="1:6" x14ac:dyDescent="0.2">
      <c r="A36" s="1233" t="s">
        <v>1866</v>
      </c>
      <c r="B36" s="1171" t="s">
        <v>949</v>
      </c>
      <c r="C36" s="637">
        <v>3.9</v>
      </c>
      <c r="D36" s="80"/>
      <c r="E36" s="1209"/>
    </row>
    <row r="37" spans="1:6" x14ac:dyDescent="0.2">
      <c r="A37" s="1233" t="s">
        <v>1867</v>
      </c>
      <c r="B37" s="1171" t="s">
        <v>949</v>
      </c>
      <c r="C37" s="637"/>
      <c r="D37" s="80"/>
      <c r="E37" s="1209"/>
    </row>
    <row r="38" spans="1:6" x14ac:dyDescent="0.2">
      <c r="A38" s="1233" t="s">
        <v>1873</v>
      </c>
      <c r="B38" s="1171" t="s">
        <v>1874</v>
      </c>
      <c r="C38" s="637">
        <v>6000</v>
      </c>
      <c r="D38" s="80"/>
      <c r="E38" s="1209"/>
    </row>
    <row r="39" spans="1:6" x14ac:dyDescent="0.2">
      <c r="A39" s="1233" t="s">
        <v>1868</v>
      </c>
      <c r="B39" s="1171" t="s">
        <v>949</v>
      </c>
      <c r="C39" s="637">
        <v>3.9</v>
      </c>
      <c r="D39" s="80"/>
      <c r="E39" s="1209"/>
    </row>
    <row r="40" spans="1:6" x14ac:dyDescent="0.2">
      <c r="A40" s="1233" t="s">
        <v>1869</v>
      </c>
      <c r="B40" s="1171" t="s">
        <v>292</v>
      </c>
      <c r="C40" s="637">
        <v>6.45</v>
      </c>
      <c r="D40" s="80"/>
      <c r="E40" s="1209"/>
    </row>
    <row r="41" spans="1:6" ht="30" x14ac:dyDescent="0.2">
      <c r="A41" s="1233" t="s">
        <v>1870</v>
      </c>
      <c r="B41" s="1171" t="s">
        <v>292</v>
      </c>
      <c r="C41" s="637">
        <v>8.25</v>
      </c>
      <c r="D41" s="80"/>
      <c r="E41" s="1209"/>
    </row>
    <row r="42" spans="1:6" x14ac:dyDescent="0.2">
      <c r="A42" s="1233" t="s">
        <v>1871</v>
      </c>
      <c r="B42" s="1171" t="s">
        <v>1874</v>
      </c>
      <c r="C42" s="637">
        <v>168</v>
      </c>
      <c r="D42" s="80"/>
      <c r="E42" s="1209"/>
    </row>
    <row r="43" spans="1:6" x14ac:dyDescent="0.2">
      <c r="A43" s="1233" t="s">
        <v>1872</v>
      </c>
      <c r="B43" s="1171" t="s">
        <v>1874</v>
      </c>
      <c r="C43" s="637">
        <v>126</v>
      </c>
      <c r="D43" s="80"/>
      <c r="E43" s="1209"/>
    </row>
    <row r="44" spans="1:6" x14ac:dyDescent="0.2">
      <c r="A44" s="1233"/>
      <c r="B44" s="1171"/>
      <c r="C44" s="637"/>
      <c r="D44" s="80"/>
      <c r="E44" s="1209"/>
    </row>
    <row r="45" spans="1:6" ht="15.75" thickBot="1" x14ac:dyDescent="0.25">
      <c r="A45" s="1234"/>
      <c r="B45" s="1235"/>
      <c r="C45" s="1236"/>
      <c r="D45" s="1237"/>
      <c r="E45" s="1210"/>
    </row>
  </sheetData>
  <mergeCells count="5">
    <mergeCell ref="D28:D29"/>
    <mergeCell ref="A30:E30"/>
    <mergeCell ref="A35:E35"/>
    <mergeCell ref="A15:C15"/>
    <mergeCell ref="E28:E29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>
    <tabColor indexed="51"/>
  </sheetPr>
  <dimension ref="A1:S119"/>
  <sheetViews>
    <sheetView showGridLines="0" showZeros="0" defaultGridColor="0" colorId="23" zoomScaleNormal="100" workbookViewId="0">
      <pane xSplit="2" ySplit="8" topLeftCell="C108" activePane="bottomRight" state="frozen"/>
      <selection activeCell="O3" sqref="O3"/>
      <selection pane="topRight" activeCell="O3" sqref="O3"/>
      <selection pane="bottomLeft" activeCell="O3" sqref="O3"/>
      <selection pane="bottomRight" activeCell="K112" sqref="K112"/>
    </sheetView>
  </sheetViews>
  <sheetFormatPr baseColWidth="10" defaultColWidth="11.42578125" defaultRowHeight="12.75" x14ac:dyDescent="0.2"/>
  <cols>
    <col min="1" max="1" width="3.42578125" style="282" customWidth="1"/>
    <col min="2" max="2" width="20.42578125" style="283" customWidth="1"/>
    <col min="3" max="3" width="4.28515625" style="284" customWidth="1"/>
    <col min="4" max="4" width="8.7109375" style="282" customWidth="1"/>
    <col min="5" max="5" width="10.5703125" style="282" customWidth="1"/>
    <col min="6" max="6" width="4" style="282" customWidth="1"/>
    <col min="7" max="7" width="4.42578125" style="282" customWidth="1"/>
    <col min="8" max="8" width="6.7109375" style="285" customWidth="1"/>
    <col min="9" max="9" width="6.28515625" style="286" customWidth="1"/>
    <col min="10" max="10" width="6.42578125" style="286" customWidth="1"/>
    <col min="11" max="11" width="11.42578125" style="287"/>
    <col min="12" max="12" width="7.7109375" style="288" customWidth="1"/>
    <col min="13" max="13" width="8.42578125" style="286" customWidth="1"/>
    <col min="14" max="14" width="8.28515625" style="289" customWidth="1"/>
    <col min="15" max="15" width="7.7109375" style="288" customWidth="1"/>
    <col min="16" max="16" width="9.28515625" style="290" customWidth="1"/>
    <col min="17" max="17" width="8.42578125" style="290" customWidth="1"/>
    <col min="18" max="18" width="9.28515625" style="191" customWidth="1"/>
    <col min="19" max="16384" width="11.42578125" style="191"/>
  </cols>
  <sheetData>
    <row r="1" spans="1:19" ht="20.25" x14ac:dyDescent="0.3">
      <c r="A1" s="2062" t="s">
        <v>231</v>
      </c>
      <c r="B1" s="2063"/>
      <c r="C1" s="2064"/>
      <c r="D1" s="2063"/>
      <c r="E1" s="2063"/>
      <c r="F1" s="2063"/>
      <c r="G1" s="2063"/>
      <c r="H1" s="2063"/>
      <c r="I1" s="2065"/>
      <c r="J1" s="2065"/>
      <c r="K1" s="2063"/>
      <c r="L1" s="2063"/>
      <c r="M1" s="2063"/>
      <c r="N1" s="2063"/>
      <c r="O1" s="2063"/>
      <c r="P1" s="2063"/>
      <c r="Q1" s="2066"/>
    </row>
    <row r="2" spans="1:19" ht="15.75" x14ac:dyDescent="0.25">
      <c r="A2" s="2067" t="s">
        <v>630</v>
      </c>
      <c r="B2" s="2068"/>
      <c r="C2" s="2069"/>
      <c r="D2" s="2068"/>
      <c r="E2" s="2068"/>
      <c r="F2" s="2068"/>
      <c r="G2" s="2068"/>
      <c r="H2" s="2068"/>
      <c r="I2" s="2070"/>
      <c r="J2" s="2070"/>
      <c r="K2" s="2068"/>
      <c r="L2" s="2068"/>
      <c r="M2" s="2068"/>
      <c r="N2" s="2068"/>
      <c r="O2" s="2068"/>
      <c r="P2" s="2068"/>
      <c r="Q2" s="2071"/>
    </row>
    <row r="3" spans="1:19" ht="16.5" thickBot="1" x14ac:dyDescent="0.3">
      <c r="A3" s="2072" t="s">
        <v>29</v>
      </c>
      <c r="B3" s="2073"/>
      <c r="C3" s="2074"/>
      <c r="D3" s="2073"/>
      <c r="E3" s="2075" t="s">
        <v>277</v>
      </c>
      <c r="F3" s="2075"/>
      <c r="G3" s="2075"/>
      <c r="H3" s="2075"/>
      <c r="I3" s="2076"/>
      <c r="J3" s="193">
        <f>DATOS!D12</f>
        <v>0</v>
      </c>
      <c r="K3" s="194" t="s">
        <v>278</v>
      </c>
      <c r="L3" s="192"/>
      <c r="M3" s="2077" t="s">
        <v>279</v>
      </c>
      <c r="N3" s="2077"/>
      <c r="O3" s="2077"/>
      <c r="P3" s="89"/>
      <c r="Q3" s="20"/>
    </row>
    <row r="4" spans="1:19" ht="13.5" thickBot="1" x14ac:dyDescent="0.25">
      <c r="A4" s="2102" t="s">
        <v>223</v>
      </c>
      <c r="B4" s="2110" t="s">
        <v>224</v>
      </c>
      <c r="C4" s="2114" t="s">
        <v>252</v>
      </c>
      <c r="D4" s="2056" t="s">
        <v>216</v>
      </c>
      <c r="E4" s="2057"/>
      <c r="F4" s="2057"/>
      <c r="G4" s="2057"/>
      <c r="H4" s="2057"/>
      <c r="I4" s="2058"/>
      <c r="J4" s="2058"/>
      <c r="K4" s="2057"/>
      <c r="L4" s="2057"/>
      <c r="M4" s="2057"/>
      <c r="N4" s="2059"/>
      <c r="O4" s="2060" t="s">
        <v>217</v>
      </c>
      <c r="P4" s="2060"/>
      <c r="Q4" s="2061"/>
    </row>
    <row r="5" spans="1:19" x14ac:dyDescent="0.2">
      <c r="A5" s="2102"/>
      <c r="B5" s="2110"/>
      <c r="C5" s="2115"/>
      <c r="D5" s="51"/>
      <c r="E5" s="93"/>
      <c r="F5" s="51"/>
      <c r="G5" s="2081" t="s">
        <v>287</v>
      </c>
      <c r="H5" s="2084" t="s">
        <v>288</v>
      </c>
      <c r="I5" s="2112" t="s">
        <v>235</v>
      </c>
      <c r="J5" s="2113"/>
      <c r="K5" s="2089" t="s">
        <v>218</v>
      </c>
      <c r="L5" s="2090"/>
      <c r="M5" s="2090"/>
      <c r="N5" s="2091"/>
      <c r="O5" s="2107" t="s">
        <v>221</v>
      </c>
      <c r="P5" s="2097" t="s">
        <v>222</v>
      </c>
      <c r="Q5" s="2104" t="s">
        <v>296</v>
      </c>
    </row>
    <row r="6" spans="1:19" ht="13.5" thickBot="1" x14ac:dyDescent="0.25">
      <c r="A6" s="2102"/>
      <c r="B6" s="2110"/>
      <c r="C6" s="2116"/>
      <c r="D6" s="32" t="s">
        <v>236</v>
      </c>
      <c r="E6" s="91" t="s">
        <v>237</v>
      </c>
      <c r="F6" s="2095" t="s">
        <v>226</v>
      </c>
      <c r="G6" s="2082"/>
      <c r="H6" s="2085"/>
      <c r="I6" s="2092"/>
      <c r="J6" s="2094"/>
      <c r="K6" s="2092"/>
      <c r="L6" s="2093"/>
      <c r="M6" s="2093"/>
      <c r="N6" s="2094"/>
      <c r="O6" s="2108"/>
      <c r="P6" s="2098"/>
      <c r="Q6" s="2105"/>
    </row>
    <row r="7" spans="1:19" ht="13.5" thickBot="1" x14ac:dyDescent="0.25">
      <c r="A7" s="2103"/>
      <c r="B7" s="2111"/>
      <c r="C7" s="2117"/>
      <c r="D7" s="90" t="s">
        <v>238</v>
      </c>
      <c r="E7" s="94" t="s">
        <v>238</v>
      </c>
      <c r="F7" s="2096"/>
      <c r="G7" s="2083"/>
      <c r="H7" s="2086"/>
      <c r="I7" s="30" t="s">
        <v>239</v>
      </c>
      <c r="J7" s="49" t="s">
        <v>240</v>
      </c>
      <c r="K7" s="30" t="s">
        <v>225</v>
      </c>
      <c r="L7" s="30" t="s">
        <v>220</v>
      </c>
      <c r="M7" s="874" t="s">
        <v>227</v>
      </c>
      <c r="N7" s="49" t="s">
        <v>241</v>
      </c>
      <c r="O7" s="2109"/>
      <c r="P7" s="2099"/>
      <c r="Q7" s="2106"/>
    </row>
    <row r="8" spans="1:19" s="196" customFormat="1" ht="13.5" thickBot="1" x14ac:dyDescent="0.25">
      <c r="A8" s="5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63">
        <v>8</v>
      </c>
      <c r="I8" s="31">
        <v>9</v>
      </c>
      <c r="J8" s="31">
        <v>10</v>
      </c>
      <c r="K8" s="31">
        <v>11</v>
      </c>
      <c r="L8" s="31">
        <v>12</v>
      </c>
      <c r="M8" s="1173">
        <v>13</v>
      </c>
      <c r="N8" s="33" t="s">
        <v>298</v>
      </c>
      <c r="O8" s="32" t="s">
        <v>299</v>
      </c>
      <c r="P8" s="51" t="s">
        <v>300</v>
      </c>
      <c r="Q8" s="51" t="s">
        <v>470</v>
      </c>
    </row>
    <row r="9" spans="1:19" ht="13.5" thickBot="1" x14ac:dyDescent="0.25">
      <c r="A9" s="197" t="s">
        <v>441</v>
      </c>
      <c r="B9" s="198" t="s">
        <v>253</v>
      </c>
      <c r="C9" s="199">
        <v>-45</v>
      </c>
      <c r="D9" s="199" t="s">
        <v>257</v>
      </c>
      <c r="E9" s="198" t="s">
        <v>327</v>
      </c>
      <c r="F9" s="200" t="s">
        <v>308</v>
      </c>
      <c r="G9" s="200">
        <v>1</v>
      </c>
      <c r="H9" s="64">
        <v>1.25</v>
      </c>
      <c r="I9" s="201">
        <v>10</v>
      </c>
      <c r="J9" s="201"/>
      <c r="K9" s="107" t="s">
        <v>234</v>
      </c>
      <c r="L9" s="54">
        <v>32.4</v>
      </c>
      <c r="M9" s="54">
        <f>'Insumos 2020'!C$1</f>
        <v>13.99</v>
      </c>
      <c r="N9" s="202">
        <f t="shared" ref="N9:N28" si="0">M9*L9</f>
        <v>453.27600000000001</v>
      </c>
      <c r="O9" s="201">
        <f t="shared" ref="O9:O17" si="1">G9/H9</f>
        <v>0.8</v>
      </c>
      <c r="P9" s="203">
        <f t="shared" ref="P9:P35" si="2">O9*(I9+J9)*8</f>
        <v>64</v>
      </c>
      <c r="Q9" s="204">
        <f t="shared" ref="Q9:Q35" si="3">N9+P9</f>
        <v>517.27600000000007</v>
      </c>
    </row>
    <row r="10" spans="1:19" ht="13.5" thickBot="1" x14ac:dyDescent="0.25">
      <c r="A10" s="205" t="s">
        <v>442</v>
      </c>
      <c r="B10" s="206" t="s">
        <v>328</v>
      </c>
      <c r="C10" s="207">
        <v>-30</v>
      </c>
      <c r="D10" s="207" t="s">
        <v>257</v>
      </c>
      <c r="E10" s="206" t="s">
        <v>329</v>
      </c>
      <c r="F10" s="208" t="s">
        <v>308</v>
      </c>
      <c r="G10" s="208">
        <v>1</v>
      </c>
      <c r="H10" s="65">
        <v>4</v>
      </c>
      <c r="I10" s="201">
        <v>10</v>
      </c>
      <c r="J10" s="209"/>
      <c r="K10" s="102" t="s">
        <v>234</v>
      </c>
      <c r="L10" s="13">
        <v>3.12</v>
      </c>
      <c r="M10" s="54">
        <f>'Insumos 2020'!C$1</f>
        <v>13.99</v>
      </c>
      <c r="N10" s="18">
        <f t="shared" si="0"/>
        <v>43.648800000000001</v>
      </c>
      <c r="O10" s="209">
        <f t="shared" si="1"/>
        <v>0.25</v>
      </c>
      <c r="P10" s="81">
        <f t="shared" si="2"/>
        <v>20</v>
      </c>
      <c r="Q10" s="210">
        <f t="shared" si="3"/>
        <v>63.648800000000001</v>
      </c>
    </row>
    <row r="11" spans="1:19" ht="13.5" thickBot="1" x14ac:dyDescent="0.25">
      <c r="A11" s="205" t="s">
        <v>443</v>
      </c>
      <c r="B11" s="206" t="s">
        <v>258</v>
      </c>
      <c r="C11" s="207">
        <v>-20</v>
      </c>
      <c r="D11" s="207" t="s">
        <v>257</v>
      </c>
      <c r="E11" s="206" t="s">
        <v>327</v>
      </c>
      <c r="F11" s="208" t="s">
        <v>308</v>
      </c>
      <c r="G11" s="208">
        <v>1</v>
      </c>
      <c r="H11" s="65">
        <v>1.25</v>
      </c>
      <c r="I11" s="201">
        <v>10</v>
      </c>
      <c r="J11" s="209"/>
      <c r="K11" s="102" t="s">
        <v>234</v>
      </c>
      <c r="L11" s="13">
        <v>32.4</v>
      </c>
      <c r="M11" s="54">
        <f>'Insumos 2020'!C$1</f>
        <v>13.99</v>
      </c>
      <c r="N11" s="18">
        <f t="shared" si="0"/>
        <v>453.27600000000001</v>
      </c>
      <c r="O11" s="209">
        <f t="shared" si="1"/>
        <v>0.8</v>
      </c>
      <c r="P11" s="81">
        <f t="shared" si="2"/>
        <v>64</v>
      </c>
      <c r="Q11" s="210">
        <f t="shared" si="3"/>
        <v>517.27600000000007</v>
      </c>
    </row>
    <row r="12" spans="1:19" ht="13.5" thickBot="1" x14ac:dyDescent="0.25">
      <c r="A12" s="205" t="s">
        <v>444</v>
      </c>
      <c r="B12" s="206" t="s">
        <v>328</v>
      </c>
      <c r="C12" s="207">
        <v>-15</v>
      </c>
      <c r="D12" s="207" t="s">
        <v>257</v>
      </c>
      <c r="E12" s="206" t="s">
        <v>329</v>
      </c>
      <c r="F12" s="208" t="s">
        <v>308</v>
      </c>
      <c r="G12" s="208">
        <v>1</v>
      </c>
      <c r="H12" s="65">
        <v>4</v>
      </c>
      <c r="I12" s="201">
        <v>10</v>
      </c>
      <c r="J12" s="209"/>
      <c r="K12" s="102" t="s">
        <v>234</v>
      </c>
      <c r="L12" s="13">
        <v>3.12</v>
      </c>
      <c r="M12" s="54">
        <f>'Insumos 2020'!C$1</f>
        <v>13.99</v>
      </c>
      <c r="N12" s="18">
        <f t="shared" si="0"/>
        <v>43.648800000000001</v>
      </c>
      <c r="O12" s="209">
        <f t="shared" si="1"/>
        <v>0.25</v>
      </c>
      <c r="P12" s="81">
        <f t="shared" si="2"/>
        <v>20</v>
      </c>
      <c r="Q12" s="210">
        <f t="shared" si="3"/>
        <v>63.648800000000001</v>
      </c>
    </row>
    <row r="13" spans="1:19" ht="13.5" thickBot="1" x14ac:dyDescent="0.25">
      <c r="A13" s="205" t="s">
        <v>445</v>
      </c>
      <c r="B13" s="206" t="s">
        <v>440</v>
      </c>
      <c r="C13" s="207">
        <v>-12</v>
      </c>
      <c r="D13" s="207" t="s">
        <v>257</v>
      </c>
      <c r="E13" s="206" t="s">
        <v>330</v>
      </c>
      <c r="F13" s="208" t="s">
        <v>308</v>
      </c>
      <c r="G13" s="208">
        <v>1</v>
      </c>
      <c r="H13" s="65">
        <v>0.21</v>
      </c>
      <c r="I13" s="201">
        <v>10</v>
      </c>
      <c r="J13" s="209"/>
      <c r="K13" s="102" t="s">
        <v>234</v>
      </c>
      <c r="L13" s="13">
        <f>96.62/13.42</f>
        <v>7.1997019374068554</v>
      </c>
      <c r="M13" s="54">
        <f>'Insumos 2020'!C$1</f>
        <v>13.99</v>
      </c>
      <c r="N13" s="18">
        <f t="shared" si="0"/>
        <v>100.72383010432191</v>
      </c>
      <c r="O13" s="209">
        <f t="shared" si="1"/>
        <v>4.7619047619047619</v>
      </c>
      <c r="P13" s="81">
        <f t="shared" si="2"/>
        <v>380.95238095238096</v>
      </c>
      <c r="Q13" s="210">
        <f t="shared" si="3"/>
        <v>481.67621105670287</v>
      </c>
    </row>
    <row r="14" spans="1:19" ht="13.5" thickBot="1" x14ac:dyDescent="0.25">
      <c r="A14" s="205" t="s">
        <v>446</v>
      </c>
      <c r="B14" s="211" t="s">
        <v>388</v>
      </c>
      <c r="C14" s="207">
        <v>-3</v>
      </c>
      <c r="D14" s="207" t="s">
        <v>257</v>
      </c>
      <c r="E14" s="212" t="s">
        <v>305</v>
      </c>
      <c r="F14" s="207" t="s">
        <v>437</v>
      </c>
      <c r="G14" s="207">
        <v>0.8</v>
      </c>
      <c r="H14" s="65">
        <v>16</v>
      </c>
      <c r="I14" s="201">
        <v>10</v>
      </c>
      <c r="J14" s="209"/>
      <c r="K14" s="102" t="s">
        <v>234</v>
      </c>
      <c r="L14" s="13">
        <v>1.51</v>
      </c>
      <c r="M14" s="54">
        <f>'Insumos 2020'!C$1</f>
        <v>13.99</v>
      </c>
      <c r="N14" s="18">
        <f t="shared" si="0"/>
        <v>21.1249</v>
      </c>
      <c r="O14" s="209">
        <f t="shared" si="1"/>
        <v>0.05</v>
      </c>
      <c r="P14" s="81">
        <f t="shared" si="2"/>
        <v>4</v>
      </c>
      <c r="Q14" s="210">
        <f t="shared" si="3"/>
        <v>25.1249</v>
      </c>
    </row>
    <row r="15" spans="1:19" x14ac:dyDescent="0.2">
      <c r="A15" s="205" t="s">
        <v>447</v>
      </c>
      <c r="B15" s="211" t="s">
        <v>471</v>
      </c>
      <c r="C15" s="207">
        <v>-3</v>
      </c>
      <c r="D15" s="207" t="s">
        <v>257</v>
      </c>
      <c r="E15" s="206" t="s">
        <v>472</v>
      </c>
      <c r="F15" s="208" t="s">
        <v>308</v>
      </c>
      <c r="G15" s="208">
        <v>1</v>
      </c>
      <c r="H15" s="65">
        <v>6</v>
      </c>
      <c r="I15" s="201">
        <v>10</v>
      </c>
      <c r="J15" s="209"/>
      <c r="K15" s="102" t="s">
        <v>234</v>
      </c>
      <c r="L15" s="13">
        <v>10.199999999999999</v>
      </c>
      <c r="M15" s="54">
        <f>'Insumos 2020'!C$1</f>
        <v>13.99</v>
      </c>
      <c r="N15" s="18">
        <f t="shared" si="0"/>
        <v>142.69799999999998</v>
      </c>
      <c r="O15" s="209">
        <f t="shared" si="1"/>
        <v>0.16666666666666666</v>
      </c>
      <c r="P15" s="81">
        <f t="shared" si="2"/>
        <v>13.333333333333332</v>
      </c>
      <c r="Q15" s="226">
        <f t="shared" si="3"/>
        <v>156.03133333333332</v>
      </c>
      <c r="R15" s="352"/>
      <c r="S15" s="352"/>
    </row>
    <row r="16" spans="1:19" ht="13.5" thickBot="1" x14ac:dyDescent="0.25">
      <c r="A16" s="86">
        <v>5</v>
      </c>
      <c r="B16" s="211" t="s">
        <v>471</v>
      </c>
      <c r="C16" s="1">
        <v>-3</v>
      </c>
      <c r="D16" s="213"/>
      <c r="E16" s="214"/>
      <c r="F16" s="1" t="s">
        <v>309</v>
      </c>
      <c r="G16" s="213"/>
      <c r="H16" s="215"/>
      <c r="I16" s="216"/>
      <c r="J16" s="216"/>
      <c r="K16" s="217" t="s">
        <v>633</v>
      </c>
      <c r="L16" s="218">
        <v>0.8</v>
      </c>
      <c r="M16" s="108">
        <f>'Insumos 2020'!C121</f>
        <v>8602.19</v>
      </c>
      <c r="N16" s="18">
        <f t="shared" si="0"/>
        <v>6881.7520000000004</v>
      </c>
      <c r="O16" s="219"/>
      <c r="P16" s="18"/>
      <c r="Q16" s="226">
        <f t="shared" si="3"/>
        <v>6881.7520000000004</v>
      </c>
      <c r="R16" s="50"/>
      <c r="S16" s="264">
        <f>P16+R16</f>
        <v>0</v>
      </c>
    </row>
    <row r="17" spans="1:17" s="227" customFormat="1" x14ac:dyDescent="0.2">
      <c r="A17" s="222" t="s">
        <v>448</v>
      </c>
      <c r="B17" s="46" t="s">
        <v>593</v>
      </c>
      <c r="C17" s="223">
        <v>-2</v>
      </c>
      <c r="D17" s="224"/>
      <c r="E17" s="224" t="s">
        <v>264</v>
      </c>
      <c r="F17" s="224" t="s">
        <v>308</v>
      </c>
      <c r="G17" s="223">
        <v>1</v>
      </c>
      <c r="H17" s="65">
        <v>4.26</v>
      </c>
      <c r="I17" s="18"/>
      <c r="J17" s="18">
        <v>10</v>
      </c>
      <c r="K17" s="225" t="s">
        <v>234</v>
      </c>
      <c r="L17" s="18">
        <f>0.86*2</f>
        <v>1.72</v>
      </c>
      <c r="M17" s="54">
        <f>'Insumos 2020'!C$1</f>
        <v>13.99</v>
      </c>
      <c r="N17" s="18">
        <f t="shared" si="0"/>
        <v>24.062799999999999</v>
      </c>
      <c r="O17" s="18">
        <f t="shared" si="1"/>
        <v>0.23474178403755869</v>
      </c>
      <c r="P17" s="226">
        <f t="shared" si="2"/>
        <v>18.779342723004696</v>
      </c>
      <c r="Q17" s="210">
        <f t="shared" si="3"/>
        <v>42.842142723004699</v>
      </c>
    </row>
    <row r="18" spans="1:17" s="227" customFormat="1" ht="13.5" thickBot="1" x14ac:dyDescent="0.25">
      <c r="A18" s="205" t="s">
        <v>448</v>
      </c>
      <c r="B18" s="206" t="s">
        <v>344</v>
      </c>
      <c r="C18" s="228">
        <v>-2</v>
      </c>
      <c r="D18" s="207"/>
      <c r="E18" s="206" t="s">
        <v>264</v>
      </c>
      <c r="F18" s="207" t="s">
        <v>308</v>
      </c>
      <c r="G18" s="207">
        <v>1</v>
      </c>
      <c r="H18" s="65"/>
      <c r="I18" s="209"/>
      <c r="J18" s="209"/>
      <c r="K18" s="102" t="s">
        <v>1367</v>
      </c>
      <c r="L18" s="13">
        <v>0.35</v>
      </c>
      <c r="M18" s="13">
        <v>5</v>
      </c>
      <c r="N18" s="18">
        <f t="shared" si="0"/>
        <v>1.75</v>
      </c>
      <c r="O18" s="209"/>
      <c r="P18" s="81">
        <f t="shared" si="2"/>
        <v>0</v>
      </c>
      <c r="Q18" s="210">
        <f t="shared" si="3"/>
        <v>1.75</v>
      </c>
    </row>
    <row r="19" spans="1:17" s="227" customFormat="1" x14ac:dyDescent="0.2">
      <c r="A19" s="205" t="s">
        <v>449</v>
      </c>
      <c r="B19" s="229" t="s">
        <v>456</v>
      </c>
      <c r="C19" s="230">
        <v>-1</v>
      </c>
      <c r="D19" s="207" t="s">
        <v>257</v>
      </c>
      <c r="E19" s="229" t="s">
        <v>305</v>
      </c>
      <c r="F19" s="230" t="s">
        <v>478</v>
      </c>
      <c r="G19" s="231">
        <v>12</v>
      </c>
      <c r="H19" s="65">
        <v>48</v>
      </c>
      <c r="I19" s="201">
        <v>10</v>
      </c>
      <c r="J19" s="209"/>
      <c r="K19" s="102" t="s">
        <v>234</v>
      </c>
      <c r="L19" s="13">
        <v>0.86</v>
      </c>
      <c r="M19" s="54">
        <f>'Insumos 2020'!C$1</f>
        <v>13.99</v>
      </c>
      <c r="N19" s="18">
        <f t="shared" si="0"/>
        <v>12.0314</v>
      </c>
      <c r="O19" s="209">
        <f>G19/H19</f>
        <v>0.25</v>
      </c>
      <c r="P19" s="81">
        <f t="shared" si="2"/>
        <v>20</v>
      </c>
      <c r="Q19" s="210">
        <f t="shared" si="3"/>
        <v>32.031399999999998</v>
      </c>
    </row>
    <row r="20" spans="1:17" s="227" customFormat="1" ht="13.5" thickBot="1" x14ac:dyDescent="0.25">
      <c r="A20" s="205" t="s">
        <v>337</v>
      </c>
      <c r="B20" s="229" t="s">
        <v>457</v>
      </c>
      <c r="C20" s="230">
        <v>-1</v>
      </c>
      <c r="D20" s="230" t="s">
        <v>266</v>
      </c>
      <c r="E20" s="229" t="s">
        <v>272</v>
      </c>
      <c r="F20" s="230" t="s">
        <v>478</v>
      </c>
      <c r="G20" s="230">
        <v>12</v>
      </c>
      <c r="H20" s="232">
        <v>3</v>
      </c>
      <c r="I20" s="209"/>
      <c r="J20" s="18">
        <v>10</v>
      </c>
      <c r="K20" s="233"/>
      <c r="L20" s="234"/>
      <c r="M20" s="234"/>
      <c r="N20" s="18">
        <f t="shared" si="0"/>
        <v>0</v>
      </c>
      <c r="O20" s="209">
        <f>G20/H20</f>
        <v>4</v>
      </c>
      <c r="P20" s="81">
        <f t="shared" si="2"/>
        <v>320</v>
      </c>
      <c r="Q20" s="210">
        <f t="shared" si="3"/>
        <v>320</v>
      </c>
    </row>
    <row r="21" spans="1:17" s="227" customFormat="1" x14ac:dyDescent="0.2">
      <c r="A21" s="205" t="s">
        <v>339</v>
      </c>
      <c r="B21" s="229" t="s">
        <v>458</v>
      </c>
      <c r="C21" s="230">
        <v>0</v>
      </c>
      <c r="D21" s="207" t="s">
        <v>257</v>
      </c>
      <c r="E21" s="229" t="s">
        <v>473</v>
      </c>
      <c r="F21" s="230" t="s">
        <v>308</v>
      </c>
      <c r="G21" s="230">
        <v>1</v>
      </c>
      <c r="H21" s="65">
        <v>0.25</v>
      </c>
      <c r="I21" s="201">
        <v>10</v>
      </c>
      <c r="J21" s="209"/>
      <c r="K21" s="102" t="s">
        <v>234</v>
      </c>
      <c r="L21" s="13">
        <v>32.4</v>
      </c>
      <c r="M21" s="54">
        <f>'Insumos 2020'!C$1</f>
        <v>13.99</v>
      </c>
      <c r="N21" s="18">
        <f t="shared" si="0"/>
        <v>453.27600000000001</v>
      </c>
      <c r="O21" s="209">
        <f>G21/H21</f>
        <v>4</v>
      </c>
      <c r="P21" s="81">
        <f t="shared" si="2"/>
        <v>320</v>
      </c>
      <c r="Q21" s="210">
        <f t="shared" si="3"/>
        <v>773.27600000000007</v>
      </c>
    </row>
    <row r="22" spans="1:17" s="227" customFormat="1" ht="13.5" thickBot="1" x14ac:dyDescent="0.25">
      <c r="A22" s="205" t="s">
        <v>341</v>
      </c>
      <c r="B22" s="229" t="s">
        <v>459</v>
      </c>
      <c r="C22" s="230">
        <v>0</v>
      </c>
      <c r="D22" s="230" t="s">
        <v>266</v>
      </c>
      <c r="E22" s="229" t="s">
        <v>268</v>
      </c>
      <c r="F22" s="230" t="s">
        <v>478</v>
      </c>
      <c r="G22" s="235">
        <v>12</v>
      </c>
      <c r="H22" s="65">
        <v>3</v>
      </c>
      <c r="I22" s="209"/>
      <c r="J22" s="18">
        <v>10</v>
      </c>
      <c r="K22" s="102"/>
      <c r="L22" s="13"/>
      <c r="M22" s="13"/>
      <c r="N22" s="18">
        <f t="shared" si="0"/>
        <v>0</v>
      </c>
      <c r="O22" s="209">
        <f>G22/H22</f>
        <v>4</v>
      </c>
      <c r="P22" s="81">
        <f t="shared" si="2"/>
        <v>320</v>
      </c>
      <c r="Q22" s="210">
        <f t="shared" si="3"/>
        <v>320</v>
      </c>
    </row>
    <row r="23" spans="1:17" s="227" customFormat="1" x14ac:dyDescent="0.2">
      <c r="A23" s="222" t="s">
        <v>343</v>
      </c>
      <c r="B23" s="46" t="s">
        <v>594</v>
      </c>
      <c r="C23" s="223">
        <v>1</v>
      </c>
      <c r="D23" s="224"/>
      <c r="E23" s="224" t="s">
        <v>474</v>
      </c>
      <c r="F23" s="224" t="s">
        <v>308</v>
      </c>
      <c r="G23" s="223">
        <v>1</v>
      </c>
      <c r="H23" s="65">
        <v>4.26</v>
      </c>
      <c r="I23" s="18"/>
      <c r="J23" s="18">
        <v>10</v>
      </c>
      <c r="K23" s="225" t="s">
        <v>234</v>
      </c>
      <c r="L23" s="18">
        <f>0.86*2</f>
        <v>1.72</v>
      </c>
      <c r="M23" s="54">
        <f>'Insumos 2020'!C$1</f>
        <v>13.99</v>
      </c>
      <c r="N23" s="18">
        <f t="shared" si="0"/>
        <v>24.062799999999999</v>
      </c>
      <c r="O23" s="18">
        <f>G23/H23</f>
        <v>0.23474178403755869</v>
      </c>
      <c r="P23" s="226">
        <f t="shared" si="2"/>
        <v>18.779342723004696</v>
      </c>
      <c r="Q23" s="210">
        <f t="shared" si="3"/>
        <v>42.842142723004699</v>
      </c>
    </row>
    <row r="24" spans="1:17" s="227" customFormat="1" ht="13.5" thickBot="1" x14ac:dyDescent="0.25">
      <c r="A24" s="205" t="s">
        <v>343</v>
      </c>
      <c r="B24" s="229" t="s">
        <v>353</v>
      </c>
      <c r="C24" s="236">
        <v>1</v>
      </c>
      <c r="D24" s="207"/>
      <c r="E24" s="229" t="s">
        <v>474</v>
      </c>
      <c r="F24" s="230" t="s">
        <v>308</v>
      </c>
      <c r="G24" s="230">
        <v>1</v>
      </c>
      <c r="H24" s="65"/>
      <c r="I24" s="209"/>
      <c r="J24" s="209"/>
      <c r="K24" s="102" t="s">
        <v>1367</v>
      </c>
      <c r="L24" s="13">
        <v>0.35</v>
      </c>
      <c r="M24" s="13">
        <v>5</v>
      </c>
      <c r="N24" s="18">
        <f t="shared" si="0"/>
        <v>1.75</v>
      </c>
      <c r="O24" s="209"/>
      <c r="P24" s="81">
        <f t="shared" si="2"/>
        <v>0</v>
      </c>
      <c r="Q24" s="210">
        <f t="shared" si="3"/>
        <v>1.75</v>
      </c>
    </row>
    <row r="25" spans="1:17" s="227" customFormat="1" ht="13.5" thickBot="1" x14ac:dyDescent="0.25">
      <c r="A25" s="205" t="s">
        <v>345</v>
      </c>
      <c r="B25" s="229" t="s">
        <v>475</v>
      </c>
      <c r="C25" s="230">
        <v>4</v>
      </c>
      <c r="D25" s="207" t="s">
        <v>257</v>
      </c>
      <c r="E25" s="229" t="s">
        <v>303</v>
      </c>
      <c r="F25" s="230" t="s">
        <v>308</v>
      </c>
      <c r="G25" s="230">
        <v>1</v>
      </c>
      <c r="H25" s="65">
        <v>8</v>
      </c>
      <c r="I25" s="201">
        <v>10</v>
      </c>
      <c r="J25" s="209"/>
      <c r="K25" s="102" t="s">
        <v>234</v>
      </c>
      <c r="L25" s="13">
        <f>46.03/13.42</f>
        <v>3.4299552906110282</v>
      </c>
      <c r="M25" s="54">
        <f>'Insumos 2020'!C$1</f>
        <v>13.99</v>
      </c>
      <c r="N25" s="18">
        <f t="shared" si="0"/>
        <v>47.985074515648286</v>
      </c>
      <c r="O25" s="209">
        <f>G25/H25</f>
        <v>0.125</v>
      </c>
      <c r="P25" s="81">
        <f t="shared" si="2"/>
        <v>10</v>
      </c>
      <c r="Q25" s="210">
        <f t="shared" si="3"/>
        <v>57.985074515648286</v>
      </c>
    </row>
    <row r="26" spans="1:17" s="227" customFormat="1" x14ac:dyDescent="0.2">
      <c r="A26" s="222" t="s">
        <v>347</v>
      </c>
      <c r="B26" s="46" t="s">
        <v>592</v>
      </c>
      <c r="C26" s="223">
        <v>15</v>
      </c>
      <c r="D26" s="224"/>
      <c r="E26" s="224" t="s">
        <v>474</v>
      </c>
      <c r="F26" s="224" t="s">
        <v>308</v>
      </c>
      <c r="G26" s="223">
        <v>1</v>
      </c>
      <c r="H26" s="65">
        <v>4.26</v>
      </c>
      <c r="I26" s="18"/>
      <c r="J26" s="18">
        <v>10</v>
      </c>
      <c r="K26" s="225" t="s">
        <v>234</v>
      </c>
      <c r="L26" s="18">
        <f>0.86*2</f>
        <v>1.72</v>
      </c>
      <c r="M26" s="54">
        <f>'Insumos 2020'!C$1</f>
        <v>13.99</v>
      </c>
      <c r="N26" s="18">
        <f t="shared" si="0"/>
        <v>24.062799999999999</v>
      </c>
      <c r="O26" s="18">
        <f>G26/H26</f>
        <v>0.23474178403755869</v>
      </c>
      <c r="P26" s="226">
        <f t="shared" si="2"/>
        <v>18.779342723004696</v>
      </c>
      <c r="Q26" s="210">
        <f t="shared" si="3"/>
        <v>42.842142723004699</v>
      </c>
    </row>
    <row r="27" spans="1:17" s="227" customFormat="1" x14ac:dyDescent="0.2">
      <c r="A27" s="205" t="s">
        <v>347</v>
      </c>
      <c r="B27" s="229" t="s">
        <v>263</v>
      </c>
      <c r="C27" s="236">
        <v>15</v>
      </c>
      <c r="D27" s="207"/>
      <c r="E27" s="229" t="s">
        <v>474</v>
      </c>
      <c r="F27" s="230" t="s">
        <v>308</v>
      </c>
      <c r="G27" s="230">
        <v>1</v>
      </c>
      <c r="H27" s="65"/>
      <c r="I27" s="209"/>
      <c r="J27" s="209"/>
      <c r="K27" s="102" t="s">
        <v>1367</v>
      </c>
      <c r="L27" s="13">
        <v>0.35</v>
      </c>
      <c r="M27" s="13">
        <v>5</v>
      </c>
      <c r="N27" s="18">
        <f t="shared" si="0"/>
        <v>1.75</v>
      </c>
      <c r="O27" s="209"/>
      <c r="P27" s="81">
        <f t="shared" si="2"/>
        <v>0</v>
      </c>
      <c r="Q27" s="210">
        <f t="shared" si="3"/>
        <v>1.75</v>
      </c>
    </row>
    <row r="28" spans="1:17" s="227" customFormat="1" x14ac:dyDescent="0.2">
      <c r="A28" s="205" t="s">
        <v>350</v>
      </c>
      <c r="B28" s="229" t="s">
        <v>304</v>
      </c>
      <c r="C28" s="230">
        <v>25</v>
      </c>
      <c r="D28" s="207" t="s">
        <v>266</v>
      </c>
      <c r="E28" s="229"/>
      <c r="F28" s="230" t="s">
        <v>308</v>
      </c>
      <c r="G28" s="230">
        <v>1</v>
      </c>
      <c r="H28" s="65">
        <v>2</v>
      </c>
      <c r="I28" s="209"/>
      <c r="J28" s="18">
        <v>10</v>
      </c>
      <c r="K28" s="102"/>
      <c r="L28" s="13"/>
      <c r="M28" s="13"/>
      <c r="N28" s="18">
        <f t="shared" si="0"/>
        <v>0</v>
      </c>
      <c r="O28" s="209">
        <f>G28/H28</f>
        <v>0.5</v>
      </c>
      <c r="P28" s="81">
        <f t="shared" si="2"/>
        <v>40</v>
      </c>
      <c r="Q28" s="210">
        <f t="shared" si="3"/>
        <v>40</v>
      </c>
    </row>
    <row r="29" spans="1:17" s="227" customFormat="1" ht="13.5" thickBot="1" x14ac:dyDescent="0.25">
      <c r="A29" s="205" t="s">
        <v>352</v>
      </c>
      <c r="B29" s="237" t="s">
        <v>481</v>
      </c>
      <c r="C29" s="207">
        <v>30</v>
      </c>
      <c r="D29" s="207" t="s">
        <v>266</v>
      </c>
      <c r="E29" s="207"/>
      <c r="F29" s="207" t="s">
        <v>482</v>
      </c>
      <c r="G29" s="207">
        <v>30</v>
      </c>
      <c r="H29" s="238">
        <v>30</v>
      </c>
      <c r="I29" s="239"/>
      <c r="J29" s="18">
        <v>10</v>
      </c>
      <c r="K29" s="240" t="s">
        <v>462</v>
      </c>
      <c r="L29" s="241">
        <v>0.03</v>
      </c>
      <c r="M29" s="209">
        <f>'Otros insumos'!C$13</f>
        <v>15</v>
      </c>
      <c r="N29" s="226">
        <f>L29*M29</f>
        <v>0.44999999999999996</v>
      </c>
      <c r="O29" s="209">
        <f>G29/H29</f>
        <v>1</v>
      </c>
      <c r="P29" s="226">
        <f t="shared" si="2"/>
        <v>80</v>
      </c>
      <c r="Q29" s="210">
        <f t="shared" si="3"/>
        <v>80.45</v>
      </c>
    </row>
    <row r="30" spans="1:17" s="227" customFormat="1" x14ac:dyDescent="0.2">
      <c r="A30" s="222" t="s">
        <v>354</v>
      </c>
      <c r="B30" s="46" t="s">
        <v>592</v>
      </c>
      <c r="C30" s="223">
        <v>30</v>
      </c>
      <c r="D30" s="224"/>
      <c r="E30" s="224" t="s">
        <v>474</v>
      </c>
      <c r="F30" s="224" t="s">
        <v>308</v>
      </c>
      <c r="G30" s="223">
        <v>1</v>
      </c>
      <c r="H30" s="65">
        <v>4.26</v>
      </c>
      <c r="I30" s="18"/>
      <c r="J30" s="18">
        <v>10</v>
      </c>
      <c r="K30" s="225" t="s">
        <v>234</v>
      </c>
      <c r="L30" s="18">
        <f>0.86*2</f>
        <v>1.72</v>
      </c>
      <c r="M30" s="54">
        <f>'Insumos 2020'!C$1</f>
        <v>13.99</v>
      </c>
      <c r="N30" s="18">
        <f>M30*L30</f>
        <v>24.062799999999999</v>
      </c>
      <c r="O30" s="18">
        <f>G30/H30</f>
        <v>0.23474178403755869</v>
      </c>
      <c r="P30" s="226">
        <f t="shared" si="2"/>
        <v>18.779342723004696</v>
      </c>
      <c r="Q30" s="210">
        <f t="shared" si="3"/>
        <v>42.842142723004699</v>
      </c>
    </row>
    <row r="31" spans="1:17" s="227" customFormat="1" x14ac:dyDescent="0.2">
      <c r="A31" s="205" t="s">
        <v>354</v>
      </c>
      <c r="B31" s="229" t="s">
        <v>263</v>
      </c>
      <c r="C31" s="236">
        <v>30</v>
      </c>
      <c r="D31" s="207"/>
      <c r="E31" s="229" t="s">
        <v>474</v>
      </c>
      <c r="F31" s="230" t="s">
        <v>308</v>
      </c>
      <c r="G31" s="230">
        <v>1</v>
      </c>
      <c r="H31" s="65"/>
      <c r="I31" s="209"/>
      <c r="J31" s="209"/>
      <c r="K31" s="102" t="s">
        <v>1367</v>
      </c>
      <c r="L31" s="13">
        <v>0.35</v>
      </c>
      <c r="M31" s="13">
        <v>5</v>
      </c>
      <c r="N31" s="18">
        <f>M31*L31</f>
        <v>1.75</v>
      </c>
      <c r="O31" s="209"/>
      <c r="P31" s="81">
        <f t="shared" si="2"/>
        <v>0</v>
      </c>
      <c r="Q31" s="210">
        <f t="shared" si="3"/>
        <v>1.75</v>
      </c>
    </row>
    <row r="32" spans="1:17" s="227" customFormat="1" ht="13.5" thickBot="1" x14ac:dyDescent="0.25">
      <c r="A32" s="205" t="s">
        <v>355</v>
      </c>
      <c r="B32" s="237" t="s">
        <v>481</v>
      </c>
      <c r="C32" s="207">
        <v>45</v>
      </c>
      <c r="D32" s="207" t="s">
        <v>266</v>
      </c>
      <c r="E32" s="207"/>
      <c r="F32" s="207" t="s">
        <v>482</v>
      </c>
      <c r="G32" s="207">
        <v>30</v>
      </c>
      <c r="H32" s="238">
        <v>30</v>
      </c>
      <c r="I32" s="239"/>
      <c r="J32" s="18">
        <v>10</v>
      </c>
      <c r="K32" s="240" t="s">
        <v>462</v>
      </c>
      <c r="L32" s="241">
        <v>0.03</v>
      </c>
      <c r="M32" s="209">
        <f>'Otros insumos'!C$13</f>
        <v>15</v>
      </c>
      <c r="N32" s="226">
        <f>L32*M32</f>
        <v>0.44999999999999996</v>
      </c>
      <c r="O32" s="209">
        <f>G32/H32</f>
        <v>1</v>
      </c>
      <c r="P32" s="226">
        <f t="shared" si="2"/>
        <v>80</v>
      </c>
      <c r="Q32" s="210">
        <f t="shared" si="3"/>
        <v>80.45</v>
      </c>
    </row>
    <row r="33" spans="1:17" s="227" customFormat="1" x14ac:dyDescent="0.2">
      <c r="A33" s="222" t="s">
        <v>356</v>
      </c>
      <c r="B33" s="46" t="s">
        <v>592</v>
      </c>
      <c r="C33" s="223">
        <v>45</v>
      </c>
      <c r="D33" s="224"/>
      <c r="E33" s="224" t="s">
        <v>474</v>
      </c>
      <c r="F33" s="224" t="s">
        <v>308</v>
      </c>
      <c r="G33" s="223">
        <v>1</v>
      </c>
      <c r="H33" s="65">
        <v>4.26</v>
      </c>
      <c r="I33" s="18"/>
      <c r="J33" s="18">
        <v>10</v>
      </c>
      <c r="K33" s="225" t="s">
        <v>234</v>
      </c>
      <c r="L33" s="18">
        <f>0.86*2</f>
        <v>1.72</v>
      </c>
      <c r="M33" s="54">
        <f>'Insumos 2020'!C$1</f>
        <v>13.99</v>
      </c>
      <c r="N33" s="18">
        <f>M33*L33</f>
        <v>24.062799999999999</v>
      </c>
      <c r="O33" s="18">
        <f>G33/H33</f>
        <v>0.23474178403755869</v>
      </c>
      <c r="P33" s="226">
        <f t="shared" si="2"/>
        <v>18.779342723004696</v>
      </c>
      <c r="Q33" s="210">
        <f t="shared" si="3"/>
        <v>42.842142723004699</v>
      </c>
    </row>
    <row r="34" spans="1:17" s="227" customFormat="1" ht="13.5" thickBot="1" x14ac:dyDescent="0.25">
      <c r="A34" s="205" t="s">
        <v>356</v>
      </c>
      <c r="B34" s="229" t="s">
        <v>263</v>
      </c>
      <c r="C34" s="236">
        <v>45</v>
      </c>
      <c r="D34" s="207"/>
      <c r="E34" s="229" t="s">
        <v>474</v>
      </c>
      <c r="F34" s="230" t="s">
        <v>308</v>
      </c>
      <c r="G34" s="230">
        <v>1</v>
      </c>
      <c r="H34" s="65"/>
      <c r="I34" s="209"/>
      <c r="J34" s="209"/>
      <c r="K34" s="102" t="s">
        <v>1367</v>
      </c>
      <c r="L34" s="13">
        <v>0.35</v>
      </c>
      <c r="M34" s="13">
        <v>5</v>
      </c>
      <c r="N34" s="18">
        <f>M34*L34</f>
        <v>1.75</v>
      </c>
      <c r="O34" s="209"/>
      <c r="P34" s="81">
        <f t="shared" si="2"/>
        <v>0</v>
      </c>
      <c r="Q34" s="210">
        <f t="shared" si="3"/>
        <v>1.75</v>
      </c>
    </row>
    <row r="35" spans="1:17" s="227" customFormat="1" x14ac:dyDescent="0.2">
      <c r="A35" s="205" t="s">
        <v>357</v>
      </c>
      <c r="B35" s="229" t="s">
        <v>269</v>
      </c>
      <c r="C35" s="230">
        <v>48</v>
      </c>
      <c r="D35" s="207" t="s">
        <v>257</v>
      </c>
      <c r="E35" s="229" t="s">
        <v>360</v>
      </c>
      <c r="F35" s="230" t="s">
        <v>308</v>
      </c>
      <c r="G35" s="230">
        <v>1</v>
      </c>
      <c r="H35" s="65">
        <v>3</v>
      </c>
      <c r="I35" s="201">
        <v>10</v>
      </c>
      <c r="J35" s="241"/>
      <c r="K35" s="102" t="s">
        <v>234</v>
      </c>
      <c r="L35" s="13">
        <f>136.88/13.42</f>
        <v>10.199701937406855</v>
      </c>
      <c r="M35" s="54">
        <f>'Insumos 2020'!C$1</f>
        <v>13.99</v>
      </c>
      <c r="N35" s="18">
        <f>M35*L35</f>
        <v>142.6938301043219</v>
      </c>
      <c r="O35" s="209">
        <f>G35/H35</f>
        <v>0.33333333333333331</v>
      </c>
      <c r="P35" s="81">
        <f t="shared" si="2"/>
        <v>26.666666666666664</v>
      </c>
      <c r="Q35" s="210">
        <f t="shared" si="3"/>
        <v>169.36049677098856</v>
      </c>
    </row>
    <row r="36" spans="1:17" s="227" customFormat="1" x14ac:dyDescent="0.2">
      <c r="A36" s="205" t="s">
        <v>358</v>
      </c>
      <c r="B36" s="237" t="s">
        <v>461</v>
      </c>
      <c r="C36" s="207">
        <v>51</v>
      </c>
      <c r="D36" s="207" t="s">
        <v>266</v>
      </c>
      <c r="E36" s="207" t="s">
        <v>267</v>
      </c>
      <c r="F36" s="207" t="s">
        <v>308</v>
      </c>
      <c r="G36" s="207">
        <v>1</v>
      </c>
      <c r="H36" s="234">
        <v>0.5</v>
      </c>
      <c r="I36" s="241"/>
      <c r="J36" s="18">
        <v>10</v>
      </c>
      <c r="K36" s="240" t="s">
        <v>463</v>
      </c>
      <c r="L36" s="241">
        <v>10</v>
      </c>
      <c r="M36" s="209">
        <f>'Insumos 2020'!C144</f>
        <v>189.94</v>
      </c>
      <c r="N36" s="226">
        <v>98</v>
      </c>
      <c r="O36" s="209">
        <v>2</v>
      </c>
      <c r="P36" s="226">
        <v>80</v>
      </c>
      <c r="Q36" s="210">
        <v>178</v>
      </c>
    </row>
    <row r="37" spans="1:17" s="227" customFormat="1" x14ac:dyDescent="0.2">
      <c r="A37" s="205" t="s">
        <v>359</v>
      </c>
      <c r="B37" s="237" t="s">
        <v>481</v>
      </c>
      <c r="C37" s="207">
        <v>60</v>
      </c>
      <c r="D37" s="207" t="s">
        <v>266</v>
      </c>
      <c r="E37" s="207"/>
      <c r="F37" s="207" t="s">
        <v>482</v>
      </c>
      <c r="G37" s="207">
        <v>30</v>
      </c>
      <c r="H37" s="238">
        <v>30</v>
      </c>
      <c r="I37" s="239"/>
      <c r="J37" s="18">
        <v>10</v>
      </c>
      <c r="K37" s="240" t="s">
        <v>462</v>
      </c>
      <c r="L37" s="241">
        <v>0.03</v>
      </c>
      <c r="M37" s="209">
        <f>'Otros insumos'!C$13</f>
        <v>15</v>
      </c>
      <c r="N37" s="226">
        <f>L37*M37</f>
        <v>0.44999999999999996</v>
      </c>
      <c r="O37" s="209">
        <f>G37/H37</f>
        <v>1</v>
      </c>
      <c r="P37" s="226">
        <f>O37*(I37+J37)*8</f>
        <v>80</v>
      </c>
      <c r="Q37" s="210">
        <f>N37+P37</f>
        <v>80.45</v>
      </c>
    </row>
    <row r="38" spans="1:17" s="227" customFormat="1" ht="13.5" thickBot="1" x14ac:dyDescent="0.25">
      <c r="A38" s="205" t="s">
        <v>361</v>
      </c>
      <c r="B38" s="237" t="s">
        <v>467</v>
      </c>
      <c r="C38" s="207">
        <v>60</v>
      </c>
      <c r="D38" s="207" t="s">
        <v>266</v>
      </c>
      <c r="E38" s="207" t="s">
        <v>267</v>
      </c>
      <c r="F38" s="207" t="s">
        <v>308</v>
      </c>
      <c r="G38" s="207">
        <v>1</v>
      </c>
      <c r="H38" s="234">
        <v>0.5</v>
      </c>
      <c r="I38" s="241"/>
      <c r="J38" s="18">
        <v>10</v>
      </c>
      <c r="K38" s="240" t="s">
        <v>468</v>
      </c>
      <c r="L38" s="241">
        <v>1.5</v>
      </c>
      <c r="M38" s="209">
        <f>'Insumos 2020'!C322</f>
        <v>333.6</v>
      </c>
      <c r="N38" s="226">
        <f>L38*M38</f>
        <v>500.40000000000003</v>
      </c>
      <c r="O38" s="209">
        <f>G38/H38</f>
        <v>2</v>
      </c>
      <c r="P38" s="226">
        <f>J38*O38*8</f>
        <v>160</v>
      </c>
      <c r="Q38" s="210">
        <f>N38+P38</f>
        <v>660.40000000000009</v>
      </c>
    </row>
    <row r="39" spans="1:17" s="227" customFormat="1" x14ac:dyDescent="0.2">
      <c r="A39" s="222" t="s">
        <v>364</v>
      </c>
      <c r="B39" s="46" t="s">
        <v>592</v>
      </c>
      <c r="C39" s="223">
        <v>60</v>
      </c>
      <c r="D39" s="224"/>
      <c r="E39" s="224" t="s">
        <v>474</v>
      </c>
      <c r="F39" s="224" t="s">
        <v>308</v>
      </c>
      <c r="G39" s="223">
        <v>1</v>
      </c>
      <c r="H39" s="65">
        <v>4.26</v>
      </c>
      <c r="I39" s="18"/>
      <c r="J39" s="18">
        <v>10</v>
      </c>
      <c r="K39" s="225" t="s">
        <v>234</v>
      </c>
      <c r="L39" s="18">
        <f>0.86*2</f>
        <v>1.72</v>
      </c>
      <c r="M39" s="54">
        <f>'Insumos 2020'!C$1</f>
        <v>13.99</v>
      </c>
      <c r="N39" s="18">
        <f>M39*L39</f>
        <v>24.062799999999999</v>
      </c>
      <c r="O39" s="18">
        <f>G39/H39</f>
        <v>0.23474178403755869</v>
      </c>
      <c r="P39" s="226">
        <f>O39*(I39+J39)*8</f>
        <v>18.779342723004696</v>
      </c>
      <c r="Q39" s="210">
        <f>N39+P39</f>
        <v>42.842142723004699</v>
      </c>
    </row>
    <row r="40" spans="1:17" s="227" customFormat="1" ht="13.5" thickBot="1" x14ac:dyDescent="0.25">
      <c r="A40" s="205" t="s">
        <v>364</v>
      </c>
      <c r="B40" s="229" t="s">
        <v>263</v>
      </c>
      <c r="C40" s="236">
        <v>60</v>
      </c>
      <c r="D40" s="207"/>
      <c r="E40" s="229" t="s">
        <v>474</v>
      </c>
      <c r="F40" s="230" t="s">
        <v>308</v>
      </c>
      <c r="G40" s="230">
        <v>1</v>
      </c>
      <c r="H40" s="65"/>
      <c r="I40" s="209"/>
      <c r="J40" s="209"/>
      <c r="K40" s="102" t="s">
        <v>1367</v>
      </c>
      <c r="L40" s="13">
        <v>0.35</v>
      </c>
      <c r="M40" s="13">
        <v>5</v>
      </c>
      <c r="N40" s="18">
        <f>M40*L40</f>
        <v>1.75</v>
      </c>
      <c r="O40" s="209"/>
      <c r="P40" s="81">
        <f>O40*(I40+J40)*8</f>
        <v>0</v>
      </c>
      <c r="Q40" s="210">
        <f>N40+P40</f>
        <v>1.75</v>
      </c>
    </row>
    <row r="41" spans="1:17" x14ac:dyDescent="0.2">
      <c r="A41" s="205" t="s">
        <v>366</v>
      </c>
      <c r="B41" s="229" t="s">
        <v>269</v>
      </c>
      <c r="C41" s="230">
        <v>63</v>
      </c>
      <c r="D41" s="207" t="s">
        <v>257</v>
      </c>
      <c r="E41" s="229" t="s">
        <v>360</v>
      </c>
      <c r="F41" s="230" t="s">
        <v>308</v>
      </c>
      <c r="G41" s="230">
        <v>1</v>
      </c>
      <c r="H41" s="65">
        <v>3</v>
      </c>
      <c r="I41" s="201">
        <v>10</v>
      </c>
      <c r="J41" s="209"/>
      <c r="K41" s="102" t="s">
        <v>234</v>
      </c>
      <c r="L41" s="13">
        <f>136.88/13.42</f>
        <v>10.199701937406855</v>
      </c>
      <c r="M41" s="54">
        <f>'Insumos 2020'!C$1</f>
        <v>13.99</v>
      </c>
      <c r="N41" s="18">
        <f>M41*L41</f>
        <v>142.6938301043219</v>
      </c>
      <c r="O41" s="209">
        <f>G41/H41</f>
        <v>0.33333333333333331</v>
      </c>
      <c r="P41" s="81">
        <f>O41*(I41+J41)*8</f>
        <v>26.666666666666664</v>
      </c>
      <c r="Q41" s="210">
        <f>N41+P41</f>
        <v>169.36049677098856</v>
      </c>
    </row>
    <row r="42" spans="1:17" ht="13.5" thickBot="1" x14ac:dyDescent="0.25">
      <c r="A42" s="242" t="s">
        <v>368</v>
      </c>
      <c r="B42" s="243" t="s">
        <v>461</v>
      </c>
      <c r="C42" s="244">
        <v>65</v>
      </c>
      <c r="D42" s="244" t="s">
        <v>266</v>
      </c>
      <c r="E42" s="244" t="s">
        <v>267</v>
      </c>
      <c r="F42" s="244" t="s">
        <v>308</v>
      </c>
      <c r="G42" s="244">
        <v>1</v>
      </c>
      <c r="H42" s="245">
        <v>0.5</v>
      </c>
      <c r="I42" s="246"/>
      <c r="J42" s="18">
        <v>10</v>
      </c>
      <c r="K42" s="248" t="s">
        <v>463</v>
      </c>
      <c r="L42" s="246">
        <v>10</v>
      </c>
      <c r="M42" s="209">
        <f>'Otros insumos'!C$9</f>
        <v>26.85</v>
      </c>
      <c r="N42" s="56">
        <v>98</v>
      </c>
      <c r="O42" s="247">
        <v>2</v>
      </c>
      <c r="P42" s="56">
        <v>80</v>
      </c>
      <c r="Q42" s="73">
        <v>178</v>
      </c>
    </row>
    <row r="43" spans="1:17" x14ac:dyDescent="0.2">
      <c r="A43" s="205" t="s">
        <v>369</v>
      </c>
      <c r="B43" s="229" t="s">
        <v>269</v>
      </c>
      <c r="C43" s="230">
        <v>70</v>
      </c>
      <c r="D43" s="207" t="s">
        <v>257</v>
      </c>
      <c r="E43" s="229" t="s">
        <v>360</v>
      </c>
      <c r="F43" s="230" t="s">
        <v>308</v>
      </c>
      <c r="G43" s="230">
        <v>1</v>
      </c>
      <c r="H43" s="65">
        <v>3</v>
      </c>
      <c r="I43" s="201">
        <v>10</v>
      </c>
      <c r="J43" s="241"/>
      <c r="K43" s="102" t="s">
        <v>234</v>
      </c>
      <c r="L43" s="13">
        <f>136.88/13.42</f>
        <v>10.199701937406855</v>
      </c>
      <c r="M43" s="54">
        <f>'Insumos 2020'!C$1</f>
        <v>13.99</v>
      </c>
      <c r="N43" s="18">
        <f>M43*L43</f>
        <v>142.6938301043219</v>
      </c>
      <c r="O43" s="209">
        <f>G43/H43</f>
        <v>0.33333333333333331</v>
      </c>
      <c r="P43" s="81">
        <f>O43*(I43+J43)*8</f>
        <v>26.666666666666664</v>
      </c>
      <c r="Q43" s="210">
        <f>N43+P43</f>
        <v>169.36049677098856</v>
      </c>
    </row>
    <row r="44" spans="1:17" ht="13.5" thickBot="1" x14ac:dyDescent="0.25">
      <c r="A44" s="205" t="s">
        <v>370</v>
      </c>
      <c r="B44" s="237" t="s">
        <v>481</v>
      </c>
      <c r="C44" s="207">
        <v>75</v>
      </c>
      <c r="D44" s="207" t="s">
        <v>266</v>
      </c>
      <c r="E44" s="207"/>
      <c r="F44" s="207" t="s">
        <v>482</v>
      </c>
      <c r="G44" s="207">
        <v>30</v>
      </c>
      <c r="H44" s="238">
        <v>30</v>
      </c>
      <c r="I44" s="239"/>
      <c r="J44" s="18">
        <v>10</v>
      </c>
      <c r="K44" s="240" t="s">
        <v>462</v>
      </c>
      <c r="L44" s="241">
        <v>0.03</v>
      </c>
      <c r="M44" s="209">
        <f>'Otros insumos'!C$13</f>
        <v>15</v>
      </c>
      <c r="N44" s="226">
        <f>L44*M44</f>
        <v>0.44999999999999996</v>
      </c>
      <c r="O44" s="209">
        <f>G44/H44</f>
        <v>1</v>
      </c>
      <c r="P44" s="226">
        <f>O44*(I44+J44)*8</f>
        <v>80</v>
      </c>
      <c r="Q44" s="210">
        <f>N44+P44</f>
        <v>80.45</v>
      </c>
    </row>
    <row r="45" spans="1:17" x14ac:dyDescent="0.2">
      <c r="A45" s="222" t="s">
        <v>371</v>
      </c>
      <c r="B45" s="46" t="s">
        <v>592</v>
      </c>
      <c r="C45" s="223">
        <v>75</v>
      </c>
      <c r="D45" s="224"/>
      <c r="E45" s="224" t="s">
        <v>474</v>
      </c>
      <c r="F45" s="224" t="s">
        <v>308</v>
      </c>
      <c r="G45" s="223">
        <v>1</v>
      </c>
      <c r="H45" s="65">
        <v>4.26</v>
      </c>
      <c r="I45" s="18"/>
      <c r="J45" s="18">
        <v>10</v>
      </c>
      <c r="K45" s="225" t="s">
        <v>234</v>
      </c>
      <c r="L45" s="18">
        <f>0.86*2</f>
        <v>1.72</v>
      </c>
      <c r="M45" s="54">
        <f>'Insumos 2020'!C$1</f>
        <v>13.99</v>
      </c>
      <c r="N45" s="18">
        <f>M45*L45</f>
        <v>24.062799999999999</v>
      </c>
      <c r="O45" s="18">
        <f>G45/H45</f>
        <v>0.23474178403755869</v>
      </c>
      <c r="P45" s="226">
        <f>O45*(I45+J45)*8</f>
        <v>18.779342723004696</v>
      </c>
      <c r="Q45" s="210">
        <f>N45+P45</f>
        <v>42.842142723004699</v>
      </c>
    </row>
    <row r="46" spans="1:17" ht="13.5" thickBot="1" x14ac:dyDescent="0.25">
      <c r="A46" s="205" t="s">
        <v>371</v>
      </c>
      <c r="B46" s="229" t="s">
        <v>263</v>
      </c>
      <c r="C46" s="236">
        <v>75</v>
      </c>
      <c r="D46" s="207"/>
      <c r="E46" s="229" t="s">
        <v>474</v>
      </c>
      <c r="F46" s="230" t="s">
        <v>308</v>
      </c>
      <c r="G46" s="230">
        <v>1</v>
      </c>
      <c r="H46" s="65"/>
      <c r="I46" s="209"/>
      <c r="J46" s="209"/>
      <c r="K46" s="102" t="s">
        <v>1367</v>
      </c>
      <c r="L46" s="13">
        <v>0.35</v>
      </c>
      <c r="M46" s="13">
        <v>5</v>
      </c>
      <c r="N46" s="18">
        <f>M46*L46</f>
        <v>1.75</v>
      </c>
      <c r="O46" s="209"/>
      <c r="P46" s="81">
        <f>O46*(I46+J46)*8</f>
        <v>0</v>
      </c>
      <c r="Q46" s="210">
        <f>N46+P46</f>
        <v>1.75</v>
      </c>
    </row>
    <row r="47" spans="1:17" x14ac:dyDescent="0.2">
      <c r="A47" s="205" t="s">
        <v>372</v>
      </c>
      <c r="B47" s="229" t="s">
        <v>269</v>
      </c>
      <c r="C47" s="230">
        <v>77</v>
      </c>
      <c r="D47" s="207" t="s">
        <v>257</v>
      </c>
      <c r="E47" s="229" t="s">
        <v>360</v>
      </c>
      <c r="F47" s="230" t="s">
        <v>308</v>
      </c>
      <c r="G47" s="230">
        <v>1</v>
      </c>
      <c r="H47" s="65">
        <v>3</v>
      </c>
      <c r="I47" s="201">
        <v>10</v>
      </c>
      <c r="J47" s="209"/>
      <c r="K47" s="102" t="s">
        <v>234</v>
      </c>
      <c r="L47" s="13">
        <f>136.88/13.42</f>
        <v>10.199701937406855</v>
      </c>
      <c r="M47" s="54">
        <f>'Insumos 2020'!C$1</f>
        <v>13.99</v>
      </c>
      <c r="N47" s="18">
        <f>M47*L47</f>
        <v>142.6938301043219</v>
      </c>
      <c r="O47" s="209">
        <f>G47/H47</f>
        <v>0.33333333333333331</v>
      </c>
      <c r="P47" s="81">
        <f>O47*(I47+J47)*8</f>
        <v>26.666666666666664</v>
      </c>
      <c r="Q47" s="210">
        <f>N47+P47</f>
        <v>169.36049677098856</v>
      </c>
    </row>
    <row r="48" spans="1:17" x14ac:dyDescent="0.2">
      <c r="A48" s="205" t="s">
        <v>373</v>
      </c>
      <c r="B48" s="237" t="s">
        <v>461</v>
      </c>
      <c r="C48" s="207">
        <v>79</v>
      </c>
      <c r="D48" s="207" t="s">
        <v>266</v>
      </c>
      <c r="E48" s="207" t="s">
        <v>267</v>
      </c>
      <c r="F48" s="207" t="s">
        <v>308</v>
      </c>
      <c r="G48" s="207">
        <v>1</v>
      </c>
      <c r="H48" s="234">
        <v>0.5</v>
      </c>
      <c r="I48" s="241"/>
      <c r="J48" s="18">
        <v>10</v>
      </c>
      <c r="K48" s="240" t="s">
        <v>463</v>
      </c>
      <c r="L48" s="241">
        <v>10</v>
      </c>
      <c r="M48" s="209">
        <f>'Otros insumos'!C$9</f>
        <v>26.85</v>
      </c>
      <c r="N48" s="226">
        <v>98</v>
      </c>
      <c r="O48" s="209">
        <v>2</v>
      </c>
      <c r="P48" s="226">
        <v>80</v>
      </c>
      <c r="Q48" s="210">
        <v>178</v>
      </c>
    </row>
    <row r="49" spans="1:17" x14ac:dyDescent="0.2">
      <c r="A49" s="205" t="s">
        <v>374</v>
      </c>
      <c r="B49" s="229" t="s">
        <v>921</v>
      </c>
      <c r="C49" s="74">
        <v>80</v>
      </c>
      <c r="D49" s="74" t="s">
        <v>266</v>
      </c>
      <c r="E49" s="75" t="s">
        <v>267</v>
      </c>
      <c r="F49" s="230" t="s">
        <v>308</v>
      </c>
      <c r="G49" s="74">
        <v>1</v>
      </c>
      <c r="H49" s="65">
        <v>0.5</v>
      </c>
      <c r="I49" s="209"/>
      <c r="J49" s="18">
        <v>10</v>
      </c>
      <c r="K49" s="102"/>
      <c r="L49" s="13"/>
      <c r="M49" s="13"/>
      <c r="N49" s="18">
        <f>M49*L49</f>
        <v>0</v>
      </c>
      <c r="O49" s="209">
        <f>G49/H49</f>
        <v>2</v>
      </c>
      <c r="P49" s="81">
        <f>O49*(I49+J49)*8</f>
        <v>160</v>
      </c>
      <c r="Q49" s="210">
        <f>N49+P49</f>
        <v>160</v>
      </c>
    </row>
    <row r="50" spans="1:17" ht="13.5" thickBot="1" x14ac:dyDescent="0.25">
      <c r="A50" s="205" t="s">
        <v>376</v>
      </c>
      <c r="B50" s="237" t="s">
        <v>481</v>
      </c>
      <c r="C50" s="207">
        <v>90</v>
      </c>
      <c r="D50" s="207" t="s">
        <v>266</v>
      </c>
      <c r="E50" s="207"/>
      <c r="F50" s="207" t="s">
        <v>482</v>
      </c>
      <c r="G50" s="207">
        <v>30</v>
      </c>
      <c r="H50" s="238">
        <v>30</v>
      </c>
      <c r="I50" s="239"/>
      <c r="J50" s="18">
        <v>10</v>
      </c>
      <c r="K50" s="240" t="s">
        <v>462</v>
      </c>
      <c r="L50" s="241">
        <v>0.03</v>
      </c>
      <c r="M50" s="209">
        <f>'Otros insumos'!C$13</f>
        <v>15</v>
      </c>
      <c r="N50" s="226">
        <f>L50*M50</f>
        <v>0.44999999999999996</v>
      </c>
      <c r="O50" s="209">
        <f>G50/H50</f>
        <v>1</v>
      </c>
      <c r="P50" s="226">
        <f>O50*(I50+J50)*8</f>
        <v>80</v>
      </c>
      <c r="Q50" s="210">
        <f>N50+P50</f>
        <v>80.45</v>
      </c>
    </row>
    <row r="51" spans="1:17" x14ac:dyDescent="0.2">
      <c r="A51" s="222" t="s">
        <v>377</v>
      </c>
      <c r="B51" s="46" t="s">
        <v>592</v>
      </c>
      <c r="C51" s="223">
        <v>90</v>
      </c>
      <c r="D51" s="224"/>
      <c r="E51" s="224" t="s">
        <v>476</v>
      </c>
      <c r="F51" s="224" t="s">
        <v>308</v>
      </c>
      <c r="G51" s="223">
        <v>1</v>
      </c>
      <c r="H51" s="65">
        <v>4.26</v>
      </c>
      <c r="I51" s="18"/>
      <c r="J51" s="18">
        <v>10</v>
      </c>
      <c r="K51" s="225" t="s">
        <v>234</v>
      </c>
      <c r="L51" s="18">
        <f>0.86*2</f>
        <v>1.72</v>
      </c>
      <c r="M51" s="54">
        <f>'Insumos 2020'!C$1</f>
        <v>13.99</v>
      </c>
      <c r="N51" s="18">
        <f>M51*L51</f>
        <v>24.062799999999999</v>
      </c>
      <c r="O51" s="18">
        <f>G51/H51</f>
        <v>0.23474178403755869</v>
      </c>
      <c r="P51" s="226">
        <f>O51*(I51+J51)*8</f>
        <v>18.779342723004696</v>
      </c>
      <c r="Q51" s="210">
        <f>N51+P51</f>
        <v>42.842142723004699</v>
      </c>
    </row>
    <row r="52" spans="1:17" x14ac:dyDescent="0.2">
      <c r="A52" s="205" t="s">
        <v>377</v>
      </c>
      <c r="B52" s="229" t="s">
        <v>263</v>
      </c>
      <c r="C52" s="236">
        <v>90</v>
      </c>
      <c r="D52" s="207"/>
      <c r="E52" s="229" t="s">
        <v>476</v>
      </c>
      <c r="F52" s="230" t="s">
        <v>308</v>
      </c>
      <c r="G52" s="230">
        <v>1</v>
      </c>
      <c r="H52" s="65"/>
      <c r="I52" s="209"/>
      <c r="J52" s="209"/>
      <c r="K52" s="102" t="s">
        <v>1367</v>
      </c>
      <c r="L52" s="13">
        <v>0.35</v>
      </c>
      <c r="M52" s="13">
        <v>5</v>
      </c>
      <c r="N52" s="18">
        <f>M52*L52</f>
        <v>1.75</v>
      </c>
      <c r="O52" s="209"/>
      <c r="P52" s="81">
        <f>O52*(I52+J52)*8</f>
        <v>0</v>
      </c>
      <c r="Q52" s="210">
        <f>N52+P52</f>
        <v>1.75</v>
      </c>
    </row>
    <row r="53" spans="1:17" x14ac:dyDescent="0.2">
      <c r="A53" s="205" t="s">
        <v>378</v>
      </c>
      <c r="B53" s="237" t="s">
        <v>461</v>
      </c>
      <c r="C53" s="207">
        <v>93</v>
      </c>
      <c r="D53" s="207" t="s">
        <v>266</v>
      </c>
      <c r="E53" s="207" t="s">
        <v>267</v>
      </c>
      <c r="F53" s="207" t="s">
        <v>308</v>
      </c>
      <c r="G53" s="207">
        <v>1</v>
      </c>
      <c r="H53" s="234">
        <v>0.5</v>
      </c>
      <c r="I53" s="241"/>
      <c r="J53" s="18">
        <v>10</v>
      </c>
      <c r="K53" s="240" t="s">
        <v>463</v>
      </c>
      <c r="L53" s="241">
        <v>10</v>
      </c>
      <c r="M53" s="209">
        <f>'Otros insumos'!C$9</f>
        <v>26.85</v>
      </c>
      <c r="N53" s="226">
        <v>98</v>
      </c>
      <c r="O53" s="209">
        <v>2</v>
      </c>
      <c r="P53" s="226">
        <v>80</v>
      </c>
      <c r="Q53" s="210">
        <v>178</v>
      </c>
    </row>
    <row r="54" spans="1:17" ht="13.5" thickBot="1" x14ac:dyDescent="0.25">
      <c r="A54" s="205" t="s">
        <v>379</v>
      </c>
      <c r="B54" s="237" t="s">
        <v>481</v>
      </c>
      <c r="C54" s="207">
        <v>105</v>
      </c>
      <c r="D54" s="207" t="s">
        <v>266</v>
      </c>
      <c r="E54" s="207"/>
      <c r="F54" s="207" t="s">
        <v>482</v>
      </c>
      <c r="G54" s="207">
        <v>30</v>
      </c>
      <c r="H54" s="238">
        <v>30</v>
      </c>
      <c r="I54" s="239"/>
      <c r="J54" s="18">
        <v>10</v>
      </c>
      <c r="K54" s="240" t="s">
        <v>462</v>
      </c>
      <c r="L54" s="241">
        <v>0.03</v>
      </c>
      <c r="M54" s="209">
        <f>'Otros insumos'!C$13</f>
        <v>15</v>
      </c>
      <c r="N54" s="226">
        <f>L54*M54</f>
        <v>0.44999999999999996</v>
      </c>
      <c r="O54" s="209">
        <f>G54/H54</f>
        <v>1</v>
      </c>
      <c r="P54" s="226">
        <f>O54*(I54+J54)*8</f>
        <v>80</v>
      </c>
      <c r="Q54" s="210">
        <f>N54+P54</f>
        <v>80.45</v>
      </c>
    </row>
    <row r="55" spans="1:17" x14ac:dyDescent="0.2">
      <c r="A55" s="222" t="s">
        <v>380</v>
      </c>
      <c r="B55" s="46" t="s">
        <v>592</v>
      </c>
      <c r="C55" s="223">
        <v>105</v>
      </c>
      <c r="D55" s="224"/>
      <c r="E55" s="224" t="s">
        <v>476</v>
      </c>
      <c r="F55" s="224" t="s">
        <v>308</v>
      </c>
      <c r="G55" s="223">
        <v>1</v>
      </c>
      <c r="H55" s="65">
        <v>4.26</v>
      </c>
      <c r="I55" s="18"/>
      <c r="J55" s="18">
        <v>10</v>
      </c>
      <c r="K55" s="225" t="s">
        <v>234</v>
      </c>
      <c r="L55" s="18">
        <f>0.86*2</f>
        <v>1.72</v>
      </c>
      <c r="M55" s="54">
        <f>'Insumos 2020'!C$1</f>
        <v>13.99</v>
      </c>
      <c r="N55" s="18">
        <f>M55*L55</f>
        <v>24.062799999999999</v>
      </c>
      <c r="O55" s="18">
        <f>G55/H55</f>
        <v>0.23474178403755869</v>
      </c>
      <c r="P55" s="226">
        <f>O55*(I55+J55)*8</f>
        <v>18.779342723004696</v>
      </c>
      <c r="Q55" s="210">
        <f>N55+P55</f>
        <v>42.842142723004699</v>
      </c>
    </row>
    <row r="56" spans="1:17" x14ac:dyDescent="0.2">
      <c r="A56" s="205" t="s">
        <v>380</v>
      </c>
      <c r="B56" s="229" t="s">
        <v>263</v>
      </c>
      <c r="C56" s="236">
        <v>105</v>
      </c>
      <c r="D56" s="207"/>
      <c r="E56" s="229" t="s">
        <v>476</v>
      </c>
      <c r="F56" s="230" t="s">
        <v>308</v>
      </c>
      <c r="G56" s="230">
        <v>1</v>
      </c>
      <c r="H56" s="65"/>
      <c r="I56" s="209"/>
      <c r="J56" s="209"/>
      <c r="K56" s="102" t="s">
        <v>1367</v>
      </c>
      <c r="L56" s="13">
        <v>0.35</v>
      </c>
      <c r="M56" s="13">
        <v>5</v>
      </c>
      <c r="N56" s="18">
        <f>M56*L56</f>
        <v>1.75</v>
      </c>
      <c r="O56" s="209"/>
      <c r="P56" s="81">
        <f>O56*(I56+J56)*8</f>
        <v>0</v>
      </c>
      <c r="Q56" s="210">
        <f>N56+P56</f>
        <v>1.75</v>
      </c>
    </row>
    <row r="57" spans="1:17" x14ac:dyDescent="0.2">
      <c r="A57" s="205" t="s">
        <v>381</v>
      </c>
      <c r="B57" s="237" t="s">
        <v>461</v>
      </c>
      <c r="C57" s="207">
        <v>107</v>
      </c>
      <c r="D57" s="207" t="s">
        <v>266</v>
      </c>
      <c r="E57" s="207" t="s">
        <v>267</v>
      </c>
      <c r="F57" s="207" t="s">
        <v>308</v>
      </c>
      <c r="G57" s="207">
        <v>1</v>
      </c>
      <c r="H57" s="234">
        <v>0.5</v>
      </c>
      <c r="I57" s="241"/>
      <c r="J57" s="18">
        <v>10</v>
      </c>
      <c r="K57" s="240" t="s">
        <v>463</v>
      </c>
      <c r="L57" s="241">
        <v>10</v>
      </c>
      <c r="M57" s="209">
        <f>'Otros insumos'!C$9</f>
        <v>26.85</v>
      </c>
      <c r="N57" s="226">
        <v>98</v>
      </c>
      <c r="O57" s="209">
        <v>2</v>
      </c>
      <c r="P57" s="226">
        <v>80</v>
      </c>
      <c r="Q57" s="210">
        <v>178</v>
      </c>
    </row>
    <row r="58" spans="1:17" x14ac:dyDescent="0.2">
      <c r="A58" s="205" t="s">
        <v>382</v>
      </c>
      <c r="B58" s="237" t="s">
        <v>481</v>
      </c>
      <c r="C58" s="207">
        <v>120</v>
      </c>
      <c r="D58" s="207" t="s">
        <v>266</v>
      </c>
      <c r="E58" s="207"/>
      <c r="F58" s="207" t="s">
        <v>482</v>
      </c>
      <c r="G58" s="207">
        <v>30</v>
      </c>
      <c r="H58" s="238">
        <v>30</v>
      </c>
      <c r="I58" s="239"/>
      <c r="J58" s="18">
        <v>10</v>
      </c>
      <c r="K58" s="240" t="s">
        <v>462</v>
      </c>
      <c r="L58" s="241">
        <v>0.03</v>
      </c>
      <c r="M58" s="209">
        <f>'Otros insumos'!C$13</f>
        <v>15</v>
      </c>
      <c r="N58" s="226">
        <f>L58*M58</f>
        <v>0.44999999999999996</v>
      </c>
      <c r="O58" s="209">
        <f>G58/H58</f>
        <v>1</v>
      </c>
      <c r="P58" s="226">
        <f>O58*(I58+J58)*8</f>
        <v>80</v>
      </c>
      <c r="Q58" s="210">
        <f>N58+P58</f>
        <v>80.45</v>
      </c>
    </row>
    <row r="59" spans="1:17" ht="13.5" thickBot="1" x14ac:dyDescent="0.25">
      <c r="A59" s="205" t="s">
        <v>384</v>
      </c>
      <c r="B59" s="237" t="s">
        <v>467</v>
      </c>
      <c r="C59" s="207">
        <v>120</v>
      </c>
      <c r="D59" s="207" t="s">
        <v>266</v>
      </c>
      <c r="E59" s="207" t="s">
        <v>267</v>
      </c>
      <c r="F59" s="207" t="s">
        <v>308</v>
      </c>
      <c r="G59" s="207">
        <v>1</v>
      </c>
      <c r="H59" s="234"/>
      <c r="I59" s="241"/>
      <c r="J59" s="209"/>
      <c r="K59" s="240" t="s">
        <v>469</v>
      </c>
      <c r="L59" s="241">
        <v>1.5</v>
      </c>
      <c r="M59" s="209">
        <f>'Insumos 2020'!C144</f>
        <v>189.94</v>
      </c>
      <c r="N59" s="226">
        <f>L59*M59</f>
        <v>284.90999999999997</v>
      </c>
      <c r="O59" s="209"/>
      <c r="P59" s="226"/>
      <c r="Q59" s="210">
        <f>N59+P59</f>
        <v>284.90999999999997</v>
      </c>
    </row>
    <row r="60" spans="1:17" x14ac:dyDescent="0.2">
      <c r="A60" s="222" t="s">
        <v>386</v>
      </c>
      <c r="B60" s="46" t="s">
        <v>592</v>
      </c>
      <c r="C60" s="223">
        <v>120</v>
      </c>
      <c r="D60" s="224"/>
      <c r="E60" s="224" t="s">
        <v>476</v>
      </c>
      <c r="F60" s="224" t="s">
        <v>308</v>
      </c>
      <c r="G60" s="223">
        <v>1</v>
      </c>
      <c r="H60" s="65">
        <v>4.26</v>
      </c>
      <c r="I60" s="18"/>
      <c r="J60" s="18">
        <v>10</v>
      </c>
      <c r="K60" s="225" t="s">
        <v>234</v>
      </c>
      <c r="L60" s="18">
        <f>0.86*2</f>
        <v>1.72</v>
      </c>
      <c r="M60" s="54">
        <f>'Insumos 2020'!C$1</f>
        <v>13.99</v>
      </c>
      <c r="N60" s="18">
        <f>M60*L60</f>
        <v>24.062799999999999</v>
      </c>
      <c r="O60" s="18">
        <f>G60/H60</f>
        <v>0.23474178403755869</v>
      </c>
      <c r="P60" s="226">
        <f>O60*(I60+J60)*8</f>
        <v>18.779342723004696</v>
      </c>
      <c r="Q60" s="210">
        <f>N60+P60</f>
        <v>42.842142723004699</v>
      </c>
    </row>
    <row r="61" spans="1:17" x14ac:dyDescent="0.2">
      <c r="A61" s="205" t="s">
        <v>386</v>
      </c>
      <c r="B61" s="229" t="s">
        <v>263</v>
      </c>
      <c r="C61" s="236">
        <v>120</v>
      </c>
      <c r="D61" s="207"/>
      <c r="E61" s="229" t="s">
        <v>476</v>
      </c>
      <c r="F61" s="230" t="s">
        <v>308</v>
      </c>
      <c r="G61" s="230">
        <v>1</v>
      </c>
      <c r="H61" s="65"/>
      <c r="I61" s="209"/>
      <c r="J61" s="209"/>
      <c r="K61" s="102" t="s">
        <v>1367</v>
      </c>
      <c r="L61" s="13">
        <v>0.35</v>
      </c>
      <c r="M61" s="13">
        <v>5</v>
      </c>
      <c r="N61" s="18">
        <f>M61*L61</f>
        <v>1.75</v>
      </c>
      <c r="O61" s="209"/>
      <c r="P61" s="81">
        <f>O61*(I61+J61)*8</f>
        <v>0</v>
      </c>
      <c r="Q61" s="210">
        <f>N61+P61</f>
        <v>1.75</v>
      </c>
    </row>
    <row r="62" spans="1:17" x14ac:dyDescent="0.2">
      <c r="A62" s="205" t="s">
        <v>387</v>
      </c>
      <c r="B62" s="237" t="s">
        <v>461</v>
      </c>
      <c r="C62" s="207">
        <v>121</v>
      </c>
      <c r="D62" s="207" t="s">
        <v>266</v>
      </c>
      <c r="E62" s="207" t="s">
        <v>267</v>
      </c>
      <c r="F62" s="207" t="s">
        <v>308</v>
      </c>
      <c r="G62" s="207">
        <v>1</v>
      </c>
      <c r="H62" s="234">
        <v>0.5</v>
      </c>
      <c r="I62" s="241"/>
      <c r="J62" s="18">
        <v>10</v>
      </c>
      <c r="K62" s="240" t="s">
        <v>463</v>
      </c>
      <c r="L62" s="241">
        <v>10</v>
      </c>
      <c r="M62" s="209">
        <f>'Otros insumos'!C$9</f>
        <v>26.85</v>
      </c>
      <c r="N62" s="226">
        <v>98</v>
      </c>
      <c r="O62" s="209">
        <v>2</v>
      </c>
      <c r="P62" s="226">
        <v>80</v>
      </c>
      <c r="Q62" s="210">
        <v>178</v>
      </c>
    </row>
    <row r="63" spans="1:17" ht="13.5" thickBot="1" x14ac:dyDescent="0.25">
      <c r="A63" s="205" t="s">
        <v>389</v>
      </c>
      <c r="B63" s="237" t="s">
        <v>481</v>
      </c>
      <c r="C63" s="207">
        <v>135</v>
      </c>
      <c r="D63" s="207" t="s">
        <v>266</v>
      </c>
      <c r="E63" s="207"/>
      <c r="F63" s="207" t="s">
        <v>482</v>
      </c>
      <c r="G63" s="207">
        <v>30</v>
      </c>
      <c r="H63" s="238">
        <v>30</v>
      </c>
      <c r="I63" s="239"/>
      <c r="J63" s="18">
        <v>10</v>
      </c>
      <c r="K63" s="240" t="s">
        <v>462</v>
      </c>
      <c r="L63" s="241">
        <v>0.03</v>
      </c>
      <c r="M63" s="209">
        <f>'Otros insumos'!C$13</f>
        <v>15</v>
      </c>
      <c r="N63" s="226">
        <f>L63*M63</f>
        <v>0.44999999999999996</v>
      </c>
      <c r="O63" s="209">
        <f>G63/H63</f>
        <v>1</v>
      </c>
      <c r="P63" s="226">
        <f t="shared" ref="P63:P109" si="4">O63*(I63+J63)*8</f>
        <v>80</v>
      </c>
      <c r="Q63" s="210">
        <f t="shared" ref="Q63:Q109" si="5">N63+P63</f>
        <v>80.45</v>
      </c>
    </row>
    <row r="64" spans="1:17" x14ac:dyDescent="0.2">
      <c r="A64" s="222" t="s">
        <v>391</v>
      </c>
      <c r="B64" s="46" t="s">
        <v>592</v>
      </c>
      <c r="C64" s="223">
        <v>135</v>
      </c>
      <c r="D64" s="224"/>
      <c r="E64" s="224" t="s">
        <v>476</v>
      </c>
      <c r="F64" s="224" t="s">
        <v>308</v>
      </c>
      <c r="G64" s="223">
        <v>1</v>
      </c>
      <c r="H64" s="65">
        <v>4.26</v>
      </c>
      <c r="I64" s="18"/>
      <c r="J64" s="18">
        <v>10</v>
      </c>
      <c r="K64" s="225" t="s">
        <v>234</v>
      </c>
      <c r="L64" s="18">
        <f>0.86*2</f>
        <v>1.72</v>
      </c>
      <c r="M64" s="54">
        <f>'Insumos 2020'!C$1</f>
        <v>13.99</v>
      </c>
      <c r="N64" s="18">
        <f>M64*L64</f>
        <v>24.062799999999999</v>
      </c>
      <c r="O64" s="18">
        <f>G64/H64</f>
        <v>0.23474178403755869</v>
      </c>
      <c r="P64" s="226">
        <f t="shared" si="4"/>
        <v>18.779342723004696</v>
      </c>
      <c r="Q64" s="210">
        <f t="shared" si="5"/>
        <v>42.842142723004699</v>
      </c>
    </row>
    <row r="65" spans="1:17" x14ac:dyDescent="0.2">
      <c r="A65" s="205" t="s">
        <v>391</v>
      </c>
      <c r="B65" s="229" t="s">
        <v>263</v>
      </c>
      <c r="C65" s="236">
        <v>135</v>
      </c>
      <c r="D65" s="207"/>
      <c r="E65" s="229" t="s">
        <v>476</v>
      </c>
      <c r="F65" s="230" t="s">
        <v>308</v>
      </c>
      <c r="G65" s="230">
        <v>1</v>
      </c>
      <c r="H65" s="65"/>
      <c r="I65" s="209"/>
      <c r="J65" s="209"/>
      <c r="K65" s="102" t="s">
        <v>1367</v>
      </c>
      <c r="L65" s="13">
        <v>0.35</v>
      </c>
      <c r="M65" s="13">
        <v>5</v>
      </c>
      <c r="N65" s="18">
        <f>M65*L65</f>
        <v>1.75</v>
      </c>
      <c r="O65" s="209"/>
      <c r="P65" s="81">
        <f t="shared" si="4"/>
        <v>0</v>
      </c>
      <c r="Q65" s="210">
        <f t="shared" si="5"/>
        <v>1.75</v>
      </c>
    </row>
    <row r="66" spans="1:17" ht="13.5" thickBot="1" x14ac:dyDescent="0.25">
      <c r="A66" s="205" t="s">
        <v>392</v>
      </c>
      <c r="B66" s="237" t="s">
        <v>481</v>
      </c>
      <c r="C66" s="207">
        <v>150</v>
      </c>
      <c r="D66" s="207" t="s">
        <v>266</v>
      </c>
      <c r="E66" s="207"/>
      <c r="F66" s="207" t="s">
        <v>482</v>
      </c>
      <c r="G66" s="207">
        <v>30</v>
      </c>
      <c r="H66" s="238">
        <v>30</v>
      </c>
      <c r="I66" s="239"/>
      <c r="J66" s="18">
        <v>10</v>
      </c>
      <c r="K66" s="240" t="s">
        <v>462</v>
      </c>
      <c r="L66" s="241">
        <v>0.03</v>
      </c>
      <c r="M66" s="209">
        <f>'Otros insumos'!C$13</f>
        <v>15</v>
      </c>
      <c r="N66" s="226">
        <f>L66*M66</f>
        <v>0.44999999999999996</v>
      </c>
      <c r="O66" s="209">
        <f>G66/H66</f>
        <v>1</v>
      </c>
      <c r="P66" s="226">
        <f t="shared" si="4"/>
        <v>80</v>
      </c>
      <c r="Q66" s="210">
        <f t="shared" si="5"/>
        <v>80.45</v>
      </c>
    </row>
    <row r="67" spans="1:17" x14ac:dyDescent="0.2">
      <c r="A67" s="222" t="s">
        <v>393</v>
      </c>
      <c r="B67" s="46" t="s">
        <v>592</v>
      </c>
      <c r="C67" s="223">
        <v>150</v>
      </c>
      <c r="D67" s="224"/>
      <c r="E67" s="224" t="s">
        <v>476</v>
      </c>
      <c r="F67" s="224" t="s">
        <v>308</v>
      </c>
      <c r="G67" s="223">
        <v>1</v>
      </c>
      <c r="H67" s="65">
        <v>4.26</v>
      </c>
      <c r="I67" s="18"/>
      <c r="J67" s="18">
        <v>10</v>
      </c>
      <c r="K67" s="225" t="s">
        <v>234</v>
      </c>
      <c r="L67" s="18">
        <f>0.86*2</f>
        <v>1.72</v>
      </c>
      <c r="M67" s="54">
        <f>'Insumos 2020'!C$1</f>
        <v>13.99</v>
      </c>
      <c r="N67" s="18">
        <f>M67*L67</f>
        <v>24.062799999999999</v>
      </c>
      <c r="O67" s="18">
        <f>G67/H67</f>
        <v>0.23474178403755869</v>
      </c>
      <c r="P67" s="226">
        <f t="shared" si="4"/>
        <v>18.779342723004696</v>
      </c>
      <c r="Q67" s="210">
        <f t="shared" si="5"/>
        <v>42.842142723004699</v>
      </c>
    </row>
    <row r="68" spans="1:17" x14ac:dyDescent="0.2">
      <c r="A68" s="205" t="s">
        <v>393</v>
      </c>
      <c r="B68" s="229" t="s">
        <v>263</v>
      </c>
      <c r="C68" s="236">
        <v>150</v>
      </c>
      <c r="D68" s="207"/>
      <c r="E68" s="229" t="s">
        <v>476</v>
      </c>
      <c r="F68" s="230" t="s">
        <v>308</v>
      </c>
      <c r="G68" s="230">
        <v>1</v>
      </c>
      <c r="H68" s="65"/>
      <c r="I68" s="209"/>
      <c r="J68" s="209"/>
      <c r="K68" s="102" t="s">
        <v>1367</v>
      </c>
      <c r="L68" s="13">
        <v>0.35</v>
      </c>
      <c r="M68" s="13">
        <v>5</v>
      </c>
      <c r="N68" s="18">
        <f>M68*L68</f>
        <v>1.75</v>
      </c>
      <c r="O68" s="209"/>
      <c r="P68" s="81">
        <f t="shared" si="4"/>
        <v>0</v>
      </c>
      <c r="Q68" s="210">
        <f t="shared" si="5"/>
        <v>1.75</v>
      </c>
    </row>
    <row r="69" spans="1:17" ht="13.5" thickBot="1" x14ac:dyDescent="0.25">
      <c r="A69" s="205" t="s">
        <v>395</v>
      </c>
      <c r="B69" s="237" t="s">
        <v>481</v>
      </c>
      <c r="C69" s="207">
        <v>165</v>
      </c>
      <c r="D69" s="207" t="s">
        <v>266</v>
      </c>
      <c r="E69" s="207"/>
      <c r="F69" s="207" t="s">
        <v>482</v>
      </c>
      <c r="G69" s="207">
        <v>30</v>
      </c>
      <c r="H69" s="238">
        <v>30</v>
      </c>
      <c r="I69" s="239"/>
      <c r="J69" s="18">
        <v>10</v>
      </c>
      <c r="K69" s="240" t="s">
        <v>462</v>
      </c>
      <c r="L69" s="241">
        <v>0.03</v>
      </c>
      <c r="M69" s="209">
        <f>'Otros insumos'!C$13</f>
        <v>15</v>
      </c>
      <c r="N69" s="226">
        <f>L69*M69</f>
        <v>0.44999999999999996</v>
      </c>
      <c r="O69" s="209">
        <f>G69/H69</f>
        <v>1</v>
      </c>
      <c r="P69" s="226">
        <f t="shared" si="4"/>
        <v>80</v>
      </c>
      <c r="Q69" s="210">
        <f t="shared" si="5"/>
        <v>80.45</v>
      </c>
    </row>
    <row r="70" spans="1:17" x14ac:dyDescent="0.2">
      <c r="A70" s="222" t="s">
        <v>396</v>
      </c>
      <c r="B70" s="46" t="s">
        <v>592</v>
      </c>
      <c r="C70" s="223">
        <v>175</v>
      </c>
      <c r="D70" s="224"/>
      <c r="E70" s="224" t="s">
        <v>476</v>
      </c>
      <c r="F70" s="224" t="s">
        <v>308</v>
      </c>
      <c r="G70" s="223">
        <v>1</v>
      </c>
      <c r="H70" s="65">
        <v>4.26</v>
      </c>
      <c r="I70" s="18"/>
      <c r="J70" s="18">
        <v>10</v>
      </c>
      <c r="K70" s="225" t="s">
        <v>234</v>
      </c>
      <c r="L70" s="18">
        <f>0.86*2</f>
        <v>1.72</v>
      </c>
      <c r="M70" s="54">
        <f>'Insumos 2020'!C$1</f>
        <v>13.99</v>
      </c>
      <c r="N70" s="18">
        <f>M70*L70</f>
        <v>24.062799999999999</v>
      </c>
      <c r="O70" s="18">
        <f>G70/H70</f>
        <v>0.23474178403755869</v>
      </c>
      <c r="P70" s="226">
        <f t="shared" si="4"/>
        <v>18.779342723004696</v>
      </c>
      <c r="Q70" s="210">
        <f t="shared" si="5"/>
        <v>42.842142723004699</v>
      </c>
    </row>
    <row r="71" spans="1:17" x14ac:dyDescent="0.2">
      <c r="A71" s="205" t="s">
        <v>396</v>
      </c>
      <c r="B71" s="229" t="s">
        <v>263</v>
      </c>
      <c r="C71" s="236">
        <v>175</v>
      </c>
      <c r="D71" s="207"/>
      <c r="E71" s="229" t="s">
        <v>476</v>
      </c>
      <c r="F71" s="230" t="s">
        <v>308</v>
      </c>
      <c r="G71" s="230">
        <v>1</v>
      </c>
      <c r="H71" s="65"/>
      <c r="I71" s="209"/>
      <c r="J71" s="209"/>
      <c r="K71" s="102" t="s">
        <v>1367</v>
      </c>
      <c r="L71" s="13">
        <v>0.35</v>
      </c>
      <c r="M71" s="13">
        <v>5</v>
      </c>
      <c r="N71" s="18">
        <f>M71*L71</f>
        <v>1.75</v>
      </c>
      <c r="O71" s="209"/>
      <c r="P71" s="81">
        <f t="shared" si="4"/>
        <v>0</v>
      </c>
      <c r="Q71" s="210">
        <f t="shared" si="5"/>
        <v>1.75</v>
      </c>
    </row>
    <row r="72" spans="1:17" ht="13.5" thickBot="1" x14ac:dyDescent="0.25">
      <c r="A72" s="205" t="s">
        <v>397</v>
      </c>
      <c r="B72" s="237" t="s">
        <v>481</v>
      </c>
      <c r="C72" s="207">
        <v>180</v>
      </c>
      <c r="D72" s="207" t="s">
        <v>266</v>
      </c>
      <c r="E72" s="207"/>
      <c r="F72" s="207" t="s">
        <v>482</v>
      </c>
      <c r="G72" s="207">
        <v>30</v>
      </c>
      <c r="H72" s="238">
        <v>30</v>
      </c>
      <c r="I72" s="239"/>
      <c r="J72" s="18">
        <v>10</v>
      </c>
      <c r="K72" s="240" t="s">
        <v>462</v>
      </c>
      <c r="L72" s="241">
        <v>0.03</v>
      </c>
      <c r="M72" s="209">
        <f>'Otros insumos'!C$13</f>
        <v>15</v>
      </c>
      <c r="N72" s="226">
        <f>L72*M72</f>
        <v>0.44999999999999996</v>
      </c>
      <c r="O72" s="209">
        <f>G72/H72</f>
        <v>1</v>
      </c>
      <c r="P72" s="226">
        <f t="shared" si="4"/>
        <v>80</v>
      </c>
      <c r="Q72" s="210">
        <f t="shared" si="5"/>
        <v>80.45</v>
      </c>
    </row>
    <row r="73" spans="1:17" x14ac:dyDescent="0.2">
      <c r="A73" s="222" t="s">
        <v>398</v>
      </c>
      <c r="B73" s="46" t="s">
        <v>592</v>
      </c>
      <c r="C73" s="223">
        <v>190</v>
      </c>
      <c r="D73" s="224"/>
      <c r="E73" s="224" t="s">
        <v>476</v>
      </c>
      <c r="F73" s="224" t="s">
        <v>308</v>
      </c>
      <c r="G73" s="223">
        <v>1</v>
      </c>
      <c r="H73" s="65">
        <v>4.26</v>
      </c>
      <c r="I73" s="18"/>
      <c r="J73" s="18">
        <v>10</v>
      </c>
      <c r="K73" s="225" t="s">
        <v>234</v>
      </c>
      <c r="L73" s="18">
        <f>0.86*2</f>
        <v>1.72</v>
      </c>
      <c r="M73" s="54">
        <f>'Insumos 2020'!C$1</f>
        <v>13.99</v>
      </c>
      <c r="N73" s="18">
        <f>M73*L73</f>
        <v>24.062799999999999</v>
      </c>
      <c r="O73" s="18">
        <f>G73/H73</f>
        <v>0.23474178403755869</v>
      </c>
      <c r="P73" s="226">
        <f t="shared" si="4"/>
        <v>18.779342723004696</v>
      </c>
      <c r="Q73" s="210">
        <f t="shared" si="5"/>
        <v>42.842142723004699</v>
      </c>
    </row>
    <row r="74" spans="1:17" x14ac:dyDescent="0.2">
      <c r="A74" s="205" t="s">
        <v>398</v>
      </c>
      <c r="B74" s="229" t="s">
        <v>263</v>
      </c>
      <c r="C74" s="236">
        <v>190</v>
      </c>
      <c r="D74" s="207"/>
      <c r="E74" s="229" t="s">
        <v>476</v>
      </c>
      <c r="F74" s="230" t="s">
        <v>308</v>
      </c>
      <c r="G74" s="230">
        <v>1</v>
      </c>
      <c r="H74" s="65"/>
      <c r="I74" s="209"/>
      <c r="J74" s="209"/>
      <c r="K74" s="102" t="s">
        <v>1367</v>
      </c>
      <c r="L74" s="13">
        <v>0.35</v>
      </c>
      <c r="M74" s="13">
        <v>5</v>
      </c>
      <c r="N74" s="18">
        <f>M74*L74</f>
        <v>1.75</v>
      </c>
      <c r="O74" s="209"/>
      <c r="P74" s="81">
        <f t="shared" si="4"/>
        <v>0</v>
      </c>
      <c r="Q74" s="210">
        <f t="shared" si="5"/>
        <v>1.75</v>
      </c>
    </row>
    <row r="75" spans="1:17" ht="13.5" thickBot="1" x14ac:dyDescent="0.25">
      <c r="A75" s="205" t="s">
        <v>399</v>
      </c>
      <c r="B75" s="237" t="s">
        <v>481</v>
      </c>
      <c r="C75" s="207">
        <v>195</v>
      </c>
      <c r="D75" s="207" t="s">
        <v>266</v>
      </c>
      <c r="E75" s="207"/>
      <c r="F75" s="207" t="s">
        <v>482</v>
      </c>
      <c r="G75" s="207">
        <v>30</v>
      </c>
      <c r="H75" s="238">
        <v>30</v>
      </c>
      <c r="I75" s="239"/>
      <c r="J75" s="18">
        <v>10</v>
      </c>
      <c r="K75" s="240" t="s">
        <v>462</v>
      </c>
      <c r="L75" s="241">
        <v>0.03</v>
      </c>
      <c r="M75" s="209">
        <f>'Otros insumos'!C$13</f>
        <v>15</v>
      </c>
      <c r="N75" s="226">
        <f>L75*M75</f>
        <v>0.44999999999999996</v>
      </c>
      <c r="O75" s="209">
        <f>G75/H75</f>
        <v>1</v>
      </c>
      <c r="P75" s="226">
        <f t="shared" si="4"/>
        <v>80</v>
      </c>
      <c r="Q75" s="210">
        <f t="shared" si="5"/>
        <v>80.45</v>
      </c>
    </row>
    <row r="76" spans="1:17" x14ac:dyDescent="0.2">
      <c r="A76" s="222" t="s">
        <v>401</v>
      </c>
      <c r="B76" s="46" t="s">
        <v>592</v>
      </c>
      <c r="C76" s="223">
        <v>205</v>
      </c>
      <c r="D76" s="224"/>
      <c r="E76" s="224" t="s">
        <v>476</v>
      </c>
      <c r="F76" s="224" t="s">
        <v>308</v>
      </c>
      <c r="G76" s="223">
        <v>1</v>
      </c>
      <c r="H76" s="65">
        <v>4.26</v>
      </c>
      <c r="I76" s="18"/>
      <c r="J76" s="18">
        <v>10</v>
      </c>
      <c r="K76" s="225" t="s">
        <v>234</v>
      </c>
      <c r="L76" s="18">
        <f>0.86*2</f>
        <v>1.72</v>
      </c>
      <c r="M76" s="54">
        <f>'Insumos 2020'!C$1</f>
        <v>13.99</v>
      </c>
      <c r="N76" s="18">
        <f>M76*L76</f>
        <v>24.062799999999999</v>
      </c>
      <c r="O76" s="18">
        <f>G76/H76</f>
        <v>0.23474178403755869</v>
      </c>
      <c r="P76" s="226">
        <f t="shared" si="4"/>
        <v>18.779342723004696</v>
      </c>
      <c r="Q76" s="210">
        <f t="shared" si="5"/>
        <v>42.842142723004699</v>
      </c>
    </row>
    <row r="77" spans="1:17" x14ac:dyDescent="0.2">
      <c r="A77" s="205" t="s">
        <v>401</v>
      </c>
      <c r="B77" s="229" t="s">
        <v>263</v>
      </c>
      <c r="C77" s="236">
        <v>205</v>
      </c>
      <c r="D77" s="207"/>
      <c r="E77" s="229" t="s">
        <v>476</v>
      </c>
      <c r="F77" s="230" t="s">
        <v>308</v>
      </c>
      <c r="G77" s="230">
        <v>1</v>
      </c>
      <c r="H77" s="65"/>
      <c r="I77" s="209"/>
      <c r="J77" s="209"/>
      <c r="K77" s="102" t="s">
        <v>1367</v>
      </c>
      <c r="L77" s="13">
        <v>0.35</v>
      </c>
      <c r="M77" s="13">
        <v>5</v>
      </c>
      <c r="N77" s="18">
        <f>M77*L77</f>
        <v>1.75</v>
      </c>
      <c r="O77" s="209"/>
      <c r="P77" s="81">
        <f t="shared" si="4"/>
        <v>0</v>
      </c>
      <c r="Q77" s="210">
        <f t="shared" si="5"/>
        <v>1.75</v>
      </c>
    </row>
    <row r="78" spans="1:17" ht="13.5" thickBot="1" x14ac:dyDescent="0.25">
      <c r="A78" s="205" t="s">
        <v>402</v>
      </c>
      <c r="B78" s="237" t="s">
        <v>481</v>
      </c>
      <c r="C78" s="207">
        <v>210</v>
      </c>
      <c r="D78" s="207" t="s">
        <v>266</v>
      </c>
      <c r="E78" s="207"/>
      <c r="F78" s="207" t="s">
        <v>482</v>
      </c>
      <c r="G78" s="207">
        <v>30</v>
      </c>
      <c r="H78" s="238">
        <v>30</v>
      </c>
      <c r="I78" s="239"/>
      <c r="J78" s="18">
        <v>10</v>
      </c>
      <c r="K78" s="240" t="s">
        <v>462</v>
      </c>
      <c r="L78" s="241">
        <v>0.03</v>
      </c>
      <c r="M78" s="209">
        <f>'Otros insumos'!C$13</f>
        <v>15</v>
      </c>
      <c r="N78" s="226">
        <f>L78*M78</f>
        <v>0.44999999999999996</v>
      </c>
      <c r="O78" s="209">
        <f>G78/H78</f>
        <v>1</v>
      </c>
      <c r="P78" s="226">
        <f t="shared" si="4"/>
        <v>80</v>
      </c>
      <c r="Q78" s="210">
        <f t="shared" si="5"/>
        <v>80.45</v>
      </c>
    </row>
    <row r="79" spans="1:17" x14ac:dyDescent="0.2">
      <c r="A79" s="222" t="s">
        <v>403</v>
      </c>
      <c r="B79" s="46" t="s">
        <v>592</v>
      </c>
      <c r="C79" s="223">
        <v>220</v>
      </c>
      <c r="D79" s="224"/>
      <c r="E79" s="224" t="s">
        <v>476</v>
      </c>
      <c r="F79" s="224" t="s">
        <v>308</v>
      </c>
      <c r="G79" s="223">
        <v>1</v>
      </c>
      <c r="H79" s="65">
        <v>4.26</v>
      </c>
      <c r="I79" s="18"/>
      <c r="J79" s="18">
        <v>10</v>
      </c>
      <c r="K79" s="225" t="s">
        <v>234</v>
      </c>
      <c r="L79" s="18">
        <f>0.86*2</f>
        <v>1.72</v>
      </c>
      <c r="M79" s="54">
        <f>'Insumos 2020'!C$1</f>
        <v>13.99</v>
      </c>
      <c r="N79" s="18">
        <f>M79*L79</f>
        <v>24.062799999999999</v>
      </c>
      <c r="O79" s="18">
        <f>G79/H79</f>
        <v>0.23474178403755869</v>
      </c>
      <c r="P79" s="226">
        <f t="shared" si="4"/>
        <v>18.779342723004696</v>
      </c>
      <c r="Q79" s="210">
        <f t="shared" si="5"/>
        <v>42.842142723004699</v>
      </c>
    </row>
    <row r="80" spans="1:17" x14ac:dyDescent="0.2">
      <c r="A80" s="205" t="s">
        <v>403</v>
      </c>
      <c r="B80" s="229" t="s">
        <v>263</v>
      </c>
      <c r="C80" s="236">
        <v>220</v>
      </c>
      <c r="D80" s="207"/>
      <c r="E80" s="229" t="s">
        <v>476</v>
      </c>
      <c r="F80" s="230" t="s">
        <v>308</v>
      </c>
      <c r="G80" s="230">
        <v>1</v>
      </c>
      <c r="H80" s="65"/>
      <c r="I80" s="209"/>
      <c r="J80" s="209"/>
      <c r="K80" s="102" t="s">
        <v>1367</v>
      </c>
      <c r="L80" s="13">
        <v>0.35</v>
      </c>
      <c r="M80" s="13">
        <v>5</v>
      </c>
      <c r="N80" s="18">
        <f>M80*L80</f>
        <v>1.75</v>
      </c>
      <c r="O80" s="209"/>
      <c r="P80" s="81">
        <f t="shared" si="4"/>
        <v>0</v>
      </c>
      <c r="Q80" s="210">
        <f t="shared" si="5"/>
        <v>1.75</v>
      </c>
    </row>
    <row r="81" spans="1:17" ht="13.5" thickBot="1" x14ac:dyDescent="0.25">
      <c r="A81" s="205" t="s">
        <v>404</v>
      </c>
      <c r="B81" s="237" t="s">
        <v>481</v>
      </c>
      <c r="C81" s="207">
        <v>225</v>
      </c>
      <c r="D81" s="207" t="s">
        <v>266</v>
      </c>
      <c r="E81" s="207"/>
      <c r="F81" s="207" t="s">
        <v>482</v>
      </c>
      <c r="G81" s="207">
        <v>30</v>
      </c>
      <c r="H81" s="238">
        <v>30</v>
      </c>
      <c r="I81" s="239"/>
      <c r="J81" s="18">
        <v>10</v>
      </c>
      <c r="K81" s="240" t="s">
        <v>462</v>
      </c>
      <c r="L81" s="241">
        <v>0.03</v>
      </c>
      <c r="M81" s="209">
        <f>'Otros insumos'!C$13</f>
        <v>15</v>
      </c>
      <c r="N81" s="226">
        <f>L81*M81</f>
        <v>0.44999999999999996</v>
      </c>
      <c r="O81" s="209">
        <f>G81/H81</f>
        <v>1</v>
      </c>
      <c r="P81" s="226">
        <f t="shared" si="4"/>
        <v>80</v>
      </c>
      <c r="Q81" s="210">
        <f t="shared" si="5"/>
        <v>80.45</v>
      </c>
    </row>
    <row r="82" spans="1:17" x14ac:dyDescent="0.2">
      <c r="A82" s="222" t="s">
        <v>405</v>
      </c>
      <c r="B82" s="46" t="s">
        <v>592</v>
      </c>
      <c r="C82" s="223">
        <v>235</v>
      </c>
      <c r="D82" s="224"/>
      <c r="E82" s="224" t="s">
        <v>476</v>
      </c>
      <c r="F82" s="224" t="s">
        <v>308</v>
      </c>
      <c r="G82" s="223">
        <v>1</v>
      </c>
      <c r="H82" s="65">
        <v>4.26</v>
      </c>
      <c r="I82" s="18"/>
      <c r="J82" s="18">
        <v>10</v>
      </c>
      <c r="K82" s="225" t="s">
        <v>234</v>
      </c>
      <c r="L82" s="18">
        <f>0.86*2</f>
        <v>1.72</v>
      </c>
      <c r="M82" s="54">
        <f>'Insumos 2020'!C$1</f>
        <v>13.99</v>
      </c>
      <c r="N82" s="18">
        <f>M82*L82</f>
        <v>24.062799999999999</v>
      </c>
      <c r="O82" s="18">
        <f>G82/H82</f>
        <v>0.23474178403755869</v>
      </c>
      <c r="P82" s="226">
        <f t="shared" si="4"/>
        <v>18.779342723004696</v>
      </c>
      <c r="Q82" s="210">
        <f t="shared" si="5"/>
        <v>42.842142723004699</v>
      </c>
    </row>
    <row r="83" spans="1:17" x14ac:dyDescent="0.2">
      <c r="A83" s="205" t="s">
        <v>405</v>
      </c>
      <c r="B83" s="229" t="s">
        <v>263</v>
      </c>
      <c r="C83" s="236">
        <v>235</v>
      </c>
      <c r="D83" s="207"/>
      <c r="E83" s="229" t="s">
        <v>476</v>
      </c>
      <c r="F83" s="230" t="s">
        <v>308</v>
      </c>
      <c r="G83" s="230">
        <v>1</v>
      </c>
      <c r="H83" s="65"/>
      <c r="I83" s="209"/>
      <c r="J83" s="209"/>
      <c r="K83" s="102" t="s">
        <v>1367</v>
      </c>
      <c r="L83" s="13">
        <v>0.35</v>
      </c>
      <c r="M83" s="13">
        <v>5</v>
      </c>
      <c r="N83" s="18">
        <f>M83*L83</f>
        <v>1.75</v>
      </c>
      <c r="O83" s="209"/>
      <c r="P83" s="81">
        <f t="shared" si="4"/>
        <v>0</v>
      </c>
      <c r="Q83" s="210">
        <f t="shared" si="5"/>
        <v>1.75</v>
      </c>
    </row>
    <row r="84" spans="1:17" ht="13.5" thickBot="1" x14ac:dyDescent="0.25">
      <c r="A84" s="205" t="s">
        <v>406</v>
      </c>
      <c r="B84" s="237" t="s">
        <v>481</v>
      </c>
      <c r="C84" s="207">
        <v>240</v>
      </c>
      <c r="D84" s="207" t="s">
        <v>266</v>
      </c>
      <c r="E84" s="207"/>
      <c r="F84" s="207" t="s">
        <v>482</v>
      </c>
      <c r="G84" s="207">
        <v>30</v>
      </c>
      <c r="H84" s="238">
        <v>30</v>
      </c>
      <c r="I84" s="239"/>
      <c r="J84" s="18">
        <v>10</v>
      </c>
      <c r="K84" s="240" t="s">
        <v>462</v>
      </c>
      <c r="L84" s="241">
        <v>0.03</v>
      </c>
      <c r="M84" s="209">
        <f>'Otros insumos'!C$13</f>
        <v>15</v>
      </c>
      <c r="N84" s="226">
        <f>L84*M84</f>
        <v>0.44999999999999996</v>
      </c>
      <c r="O84" s="209">
        <f>G84/H84</f>
        <v>1</v>
      </c>
      <c r="P84" s="226">
        <f t="shared" si="4"/>
        <v>80</v>
      </c>
      <c r="Q84" s="210">
        <f t="shared" si="5"/>
        <v>80.45</v>
      </c>
    </row>
    <row r="85" spans="1:17" x14ac:dyDescent="0.2">
      <c r="A85" s="222" t="s">
        <v>407</v>
      </c>
      <c r="B85" s="46" t="s">
        <v>592</v>
      </c>
      <c r="C85" s="223">
        <v>250</v>
      </c>
      <c r="D85" s="224"/>
      <c r="E85" s="224" t="s">
        <v>476</v>
      </c>
      <c r="F85" s="224" t="s">
        <v>308</v>
      </c>
      <c r="G85" s="223">
        <v>1</v>
      </c>
      <c r="H85" s="65">
        <v>4.26</v>
      </c>
      <c r="I85" s="18"/>
      <c r="J85" s="18">
        <v>10</v>
      </c>
      <c r="K85" s="225" t="s">
        <v>234</v>
      </c>
      <c r="L85" s="18">
        <f>0.86*2</f>
        <v>1.72</v>
      </c>
      <c r="M85" s="54">
        <f>'Insumos 2020'!C$1</f>
        <v>13.99</v>
      </c>
      <c r="N85" s="18">
        <f>M85*L85</f>
        <v>24.062799999999999</v>
      </c>
      <c r="O85" s="18">
        <f>G85/H85</f>
        <v>0.23474178403755869</v>
      </c>
      <c r="P85" s="226">
        <f t="shared" si="4"/>
        <v>18.779342723004696</v>
      </c>
      <c r="Q85" s="210">
        <f t="shared" si="5"/>
        <v>42.842142723004699</v>
      </c>
    </row>
    <row r="86" spans="1:17" x14ac:dyDescent="0.2">
      <c r="A86" s="205" t="s">
        <v>407</v>
      </c>
      <c r="B86" s="229" t="s">
        <v>263</v>
      </c>
      <c r="C86" s="236">
        <v>250</v>
      </c>
      <c r="D86" s="207"/>
      <c r="E86" s="229" t="s">
        <v>476</v>
      </c>
      <c r="F86" s="230" t="s">
        <v>308</v>
      </c>
      <c r="G86" s="230">
        <v>1</v>
      </c>
      <c r="H86" s="65"/>
      <c r="I86" s="209"/>
      <c r="J86" s="209"/>
      <c r="K86" s="102" t="s">
        <v>1367</v>
      </c>
      <c r="L86" s="13">
        <v>0.35</v>
      </c>
      <c r="M86" s="13">
        <v>5</v>
      </c>
      <c r="N86" s="18">
        <f>M86*L86</f>
        <v>1.75</v>
      </c>
      <c r="O86" s="209"/>
      <c r="P86" s="81">
        <f t="shared" si="4"/>
        <v>0</v>
      </c>
      <c r="Q86" s="210">
        <f t="shared" si="5"/>
        <v>1.75</v>
      </c>
    </row>
    <row r="87" spans="1:17" ht="13.5" thickBot="1" x14ac:dyDescent="0.25">
      <c r="A87" s="205" t="s">
        <v>408</v>
      </c>
      <c r="B87" s="237" t="s">
        <v>481</v>
      </c>
      <c r="C87" s="207">
        <v>255</v>
      </c>
      <c r="D87" s="207" t="s">
        <v>266</v>
      </c>
      <c r="E87" s="207"/>
      <c r="F87" s="207" t="s">
        <v>482</v>
      </c>
      <c r="G87" s="207">
        <v>30</v>
      </c>
      <c r="H87" s="238">
        <v>30</v>
      </c>
      <c r="I87" s="239"/>
      <c r="J87" s="18">
        <v>10</v>
      </c>
      <c r="K87" s="240" t="s">
        <v>462</v>
      </c>
      <c r="L87" s="241">
        <v>0.03</v>
      </c>
      <c r="M87" s="209">
        <f>'Otros insumos'!C$13</f>
        <v>15</v>
      </c>
      <c r="N87" s="226">
        <f>L87*M87</f>
        <v>0.44999999999999996</v>
      </c>
      <c r="O87" s="209">
        <f>G87/H87</f>
        <v>1</v>
      </c>
      <c r="P87" s="226">
        <f t="shared" si="4"/>
        <v>80</v>
      </c>
      <c r="Q87" s="210">
        <f t="shared" si="5"/>
        <v>80.45</v>
      </c>
    </row>
    <row r="88" spans="1:17" x14ac:dyDescent="0.2">
      <c r="A88" s="222" t="s">
        <v>409</v>
      </c>
      <c r="B88" s="46" t="s">
        <v>592</v>
      </c>
      <c r="C88" s="223">
        <v>265</v>
      </c>
      <c r="D88" s="224"/>
      <c r="E88" s="224" t="s">
        <v>476</v>
      </c>
      <c r="F88" s="224" t="s">
        <v>308</v>
      </c>
      <c r="G88" s="223">
        <v>1</v>
      </c>
      <c r="H88" s="65">
        <v>4.26</v>
      </c>
      <c r="I88" s="18"/>
      <c r="J88" s="18">
        <v>10</v>
      </c>
      <c r="K88" s="225" t="s">
        <v>234</v>
      </c>
      <c r="L88" s="18">
        <f>0.86*2</f>
        <v>1.72</v>
      </c>
      <c r="M88" s="54">
        <f>'Insumos 2020'!C$1</f>
        <v>13.99</v>
      </c>
      <c r="N88" s="18">
        <f>M88*L88</f>
        <v>24.062799999999999</v>
      </c>
      <c r="O88" s="18">
        <f>G88/H88</f>
        <v>0.23474178403755869</v>
      </c>
      <c r="P88" s="226">
        <f t="shared" si="4"/>
        <v>18.779342723004696</v>
      </c>
      <c r="Q88" s="210">
        <f t="shared" si="5"/>
        <v>42.842142723004699</v>
      </c>
    </row>
    <row r="89" spans="1:17" x14ac:dyDescent="0.2">
      <c r="A89" s="205" t="s">
        <v>409</v>
      </c>
      <c r="B89" s="229" t="s">
        <v>263</v>
      </c>
      <c r="C89" s="236">
        <v>265</v>
      </c>
      <c r="D89" s="207"/>
      <c r="E89" s="229" t="s">
        <v>476</v>
      </c>
      <c r="F89" s="230" t="s">
        <v>308</v>
      </c>
      <c r="G89" s="230">
        <v>1</v>
      </c>
      <c r="H89" s="65"/>
      <c r="I89" s="209"/>
      <c r="J89" s="209"/>
      <c r="K89" s="102" t="s">
        <v>1367</v>
      </c>
      <c r="L89" s="13">
        <v>0.35</v>
      </c>
      <c r="M89" s="13">
        <v>5</v>
      </c>
      <c r="N89" s="18">
        <f>M89*L89</f>
        <v>1.75</v>
      </c>
      <c r="O89" s="209"/>
      <c r="P89" s="81">
        <f t="shared" si="4"/>
        <v>0</v>
      </c>
      <c r="Q89" s="210">
        <f t="shared" si="5"/>
        <v>1.75</v>
      </c>
    </row>
    <row r="90" spans="1:17" ht="13.5" thickBot="1" x14ac:dyDescent="0.25">
      <c r="A90" s="205" t="s">
        <v>410</v>
      </c>
      <c r="B90" s="237" t="s">
        <v>481</v>
      </c>
      <c r="C90" s="207">
        <v>270</v>
      </c>
      <c r="D90" s="207" t="s">
        <v>266</v>
      </c>
      <c r="E90" s="207"/>
      <c r="F90" s="207" t="s">
        <v>482</v>
      </c>
      <c r="G90" s="207">
        <v>30</v>
      </c>
      <c r="H90" s="238">
        <v>30</v>
      </c>
      <c r="I90" s="239"/>
      <c r="J90" s="18">
        <v>10</v>
      </c>
      <c r="K90" s="240" t="s">
        <v>462</v>
      </c>
      <c r="L90" s="241">
        <v>0.03</v>
      </c>
      <c r="M90" s="209">
        <f>'Otros insumos'!C$13</f>
        <v>15</v>
      </c>
      <c r="N90" s="226">
        <f>L90*M90</f>
        <v>0.44999999999999996</v>
      </c>
      <c r="O90" s="209">
        <f>G90/H90</f>
        <v>1</v>
      </c>
      <c r="P90" s="226">
        <f t="shared" si="4"/>
        <v>80</v>
      </c>
      <c r="Q90" s="210">
        <f t="shared" si="5"/>
        <v>80.45</v>
      </c>
    </row>
    <row r="91" spans="1:17" x14ac:dyDescent="0.2">
      <c r="A91" s="222" t="s">
        <v>411</v>
      </c>
      <c r="B91" s="46" t="s">
        <v>592</v>
      </c>
      <c r="C91" s="223">
        <v>280</v>
      </c>
      <c r="D91" s="224"/>
      <c r="E91" s="224" t="s">
        <v>476</v>
      </c>
      <c r="F91" s="224" t="s">
        <v>308</v>
      </c>
      <c r="G91" s="223">
        <v>1</v>
      </c>
      <c r="H91" s="65">
        <v>4.26</v>
      </c>
      <c r="I91" s="18"/>
      <c r="J91" s="18">
        <v>10</v>
      </c>
      <c r="K91" s="225" t="s">
        <v>234</v>
      </c>
      <c r="L91" s="18">
        <f>0.86*2</f>
        <v>1.72</v>
      </c>
      <c r="M91" s="54">
        <f>'Insumos 2020'!C$1</f>
        <v>13.99</v>
      </c>
      <c r="N91" s="18">
        <f>M91*L91</f>
        <v>24.062799999999999</v>
      </c>
      <c r="O91" s="18">
        <f>G91/H91</f>
        <v>0.23474178403755869</v>
      </c>
      <c r="P91" s="226">
        <f t="shared" si="4"/>
        <v>18.779342723004696</v>
      </c>
      <c r="Q91" s="210">
        <f t="shared" si="5"/>
        <v>42.842142723004699</v>
      </c>
    </row>
    <row r="92" spans="1:17" x14ac:dyDescent="0.2">
      <c r="A92" s="205" t="s">
        <v>411</v>
      </c>
      <c r="B92" s="229" t="s">
        <v>263</v>
      </c>
      <c r="C92" s="236">
        <v>280</v>
      </c>
      <c r="D92" s="207"/>
      <c r="E92" s="229" t="s">
        <v>476</v>
      </c>
      <c r="F92" s="230" t="s">
        <v>308</v>
      </c>
      <c r="G92" s="230">
        <v>1</v>
      </c>
      <c r="H92" s="65"/>
      <c r="I92" s="209"/>
      <c r="J92" s="209"/>
      <c r="K92" s="102" t="s">
        <v>1367</v>
      </c>
      <c r="L92" s="13">
        <v>0.35</v>
      </c>
      <c r="M92" s="13">
        <v>5</v>
      </c>
      <c r="N92" s="18">
        <f>M92*L92</f>
        <v>1.75</v>
      </c>
      <c r="O92" s="209"/>
      <c r="P92" s="81">
        <f t="shared" si="4"/>
        <v>0</v>
      </c>
      <c r="Q92" s="210">
        <f t="shared" si="5"/>
        <v>1.75</v>
      </c>
    </row>
    <row r="93" spans="1:17" ht="13.5" thickBot="1" x14ac:dyDescent="0.25">
      <c r="A93" s="205" t="s">
        <v>412</v>
      </c>
      <c r="B93" s="237" t="s">
        <v>481</v>
      </c>
      <c r="C93" s="207">
        <v>285</v>
      </c>
      <c r="D93" s="207" t="s">
        <v>266</v>
      </c>
      <c r="E93" s="207"/>
      <c r="F93" s="207" t="s">
        <v>482</v>
      </c>
      <c r="G93" s="207">
        <v>30</v>
      </c>
      <c r="H93" s="238">
        <v>30</v>
      </c>
      <c r="I93" s="239"/>
      <c r="J93" s="18">
        <v>10</v>
      </c>
      <c r="K93" s="240" t="s">
        <v>462</v>
      </c>
      <c r="L93" s="241">
        <v>0.03</v>
      </c>
      <c r="M93" s="209">
        <f>'Otros insumos'!C$13</f>
        <v>15</v>
      </c>
      <c r="N93" s="226">
        <f>L93*M93</f>
        <v>0.44999999999999996</v>
      </c>
      <c r="O93" s="209">
        <f>G93/H93</f>
        <v>1</v>
      </c>
      <c r="P93" s="226">
        <f t="shared" si="4"/>
        <v>80</v>
      </c>
      <c r="Q93" s="210">
        <f t="shared" si="5"/>
        <v>80.45</v>
      </c>
    </row>
    <row r="94" spans="1:17" x14ac:dyDescent="0.2">
      <c r="A94" s="222" t="s">
        <v>413</v>
      </c>
      <c r="B94" s="46" t="s">
        <v>592</v>
      </c>
      <c r="C94" s="223">
        <v>295</v>
      </c>
      <c r="D94" s="224"/>
      <c r="E94" s="224" t="s">
        <v>476</v>
      </c>
      <c r="F94" s="224" t="s">
        <v>308</v>
      </c>
      <c r="G94" s="223">
        <v>1</v>
      </c>
      <c r="H94" s="65">
        <v>4.26</v>
      </c>
      <c r="I94" s="18"/>
      <c r="J94" s="18">
        <v>10</v>
      </c>
      <c r="K94" s="225" t="s">
        <v>234</v>
      </c>
      <c r="L94" s="18">
        <f>0.86*2</f>
        <v>1.72</v>
      </c>
      <c r="M94" s="54">
        <f>'Insumos 2020'!C$1</f>
        <v>13.99</v>
      </c>
      <c r="N94" s="18">
        <f>M94*L94</f>
        <v>24.062799999999999</v>
      </c>
      <c r="O94" s="18">
        <f>G94/H94</f>
        <v>0.23474178403755869</v>
      </c>
      <c r="P94" s="226">
        <f t="shared" si="4"/>
        <v>18.779342723004696</v>
      </c>
      <c r="Q94" s="210">
        <f t="shared" si="5"/>
        <v>42.842142723004699</v>
      </c>
    </row>
    <row r="95" spans="1:17" x14ac:dyDescent="0.2">
      <c r="A95" s="205" t="s">
        <v>413</v>
      </c>
      <c r="B95" s="229" t="s">
        <v>263</v>
      </c>
      <c r="C95" s="236">
        <v>295</v>
      </c>
      <c r="D95" s="207"/>
      <c r="E95" s="229" t="s">
        <v>476</v>
      </c>
      <c r="F95" s="230" t="s">
        <v>308</v>
      </c>
      <c r="G95" s="230">
        <v>1</v>
      </c>
      <c r="H95" s="65"/>
      <c r="I95" s="209"/>
      <c r="J95" s="209"/>
      <c r="K95" s="102" t="s">
        <v>1367</v>
      </c>
      <c r="L95" s="13">
        <v>0.35</v>
      </c>
      <c r="M95" s="13">
        <v>5</v>
      </c>
      <c r="N95" s="18">
        <f>M95*L95</f>
        <v>1.75</v>
      </c>
      <c r="O95" s="209"/>
      <c r="P95" s="81">
        <f t="shared" si="4"/>
        <v>0</v>
      </c>
      <c r="Q95" s="210">
        <f t="shared" si="5"/>
        <v>1.75</v>
      </c>
    </row>
    <row r="96" spans="1:17" ht="13.5" thickBot="1" x14ac:dyDescent="0.25">
      <c r="A96" s="205" t="s">
        <v>414</v>
      </c>
      <c r="B96" s="237" t="s">
        <v>481</v>
      </c>
      <c r="C96" s="207">
        <v>300</v>
      </c>
      <c r="D96" s="207" t="s">
        <v>266</v>
      </c>
      <c r="E96" s="207"/>
      <c r="F96" s="207" t="s">
        <v>482</v>
      </c>
      <c r="G96" s="207">
        <v>30</v>
      </c>
      <c r="H96" s="238">
        <v>30</v>
      </c>
      <c r="I96" s="239"/>
      <c r="J96" s="18">
        <v>10</v>
      </c>
      <c r="K96" s="240" t="s">
        <v>462</v>
      </c>
      <c r="L96" s="241">
        <v>0.03</v>
      </c>
      <c r="M96" s="209">
        <f>'Otros insumos'!C$13</f>
        <v>15</v>
      </c>
      <c r="N96" s="226">
        <f>L96*M96</f>
        <v>0.44999999999999996</v>
      </c>
      <c r="O96" s="209">
        <f>G96/H96</f>
        <v>1</v>
      </c>
      <c r="P96" s="226">
        <f t="shared" si="4"/>
        <v>80</v>
      </c>
      <c r="Q96" s="210">
        <f t="shared" si="5"/>
        <v>80.45</v>
      </c>
    </row>
    <row r="97" spans="1:18" x14ac:dyDescent="0.2">
      <c r="A97" s="222" t="s">
        <v>415</v>
      </c>
      <c r="B97" s="46" t="s">
        <v>592</v>
      </c>
      <c r="C97" s="223">
        <v>310</v>
      </c>
      <c r="D97" s="224"/>
      <c r="E97" s="224" t="s">
        <v>476</v>
      </c>
      <c r="F97" s="224" t="s">
        <v>308</v>
      </c>
      <c r="G97" s="223">
        <v>1</v>
      </c>
      <c r="H97" s="65">
        <v>4.26</v>
      </c>
      <c r="I97" s="18"/>
      <c r="J97" s="18">
        <v>10</v>
      </c>
      <c r="K97" s="225" t="s">
        <v>234</v>
      </c>
      <c r="L97" s="18">
        <f>0.86*2</f>
        <v>1.72</v>
      </c>
      <c r="M97" s="54">
        <f>'Insumos 2020'!C$1</f>
        <v>13.99</v>
      </c>
      <c r="N97" s="18">
        <f>M97*L97</f>
        <v>24.062799999999999</v>
      </c>
      <c r="O97" s="18">
        <f>G97/H97</f>
        <v>0.23474178403755869</v>
      </c>
      <c r="P97" s="226">
        <f t="shared" si="4"/>
        <v>18.779342723004696</v>
      </c>
      <c r="Q97" s="210">
        <f t="shared" si="5"/>
        <v>42.842142723004699</v>
      </c>
    </row>
    <row r="98" spans="1:18" x14ac:dyDescent="0.2">
      <c r="A98" s="205" t="s">
        <v>415</v>
      </c>
      <c r="B98" s="229" t="s">
        <v>263</v>
      </c>
      <c r="C98" s="236">
        <v>310</v>
      </c>
      <c r="D98" s="207"/>
      <c r="E98" s="229" t="s">
        <v>476</v>
      </c>
      <c r="F98" s="230" t="s">
        <v>308</v>
      </c>
      <c r="G98" s="230">
        <v>1</v>
      </c>
      <c r="H98" s="65"/>
      <c r="I98" s="209"/>
      <c r="J98" s="209"/>
      <c r="K98" s="102" t="s">
        <v>1367</v>
      </c>
      <c r="L98" s="13">
        <v>0.35</v>
      </c>
      <c r="M98" s="13">
        <v>5</v>
      </c>
      <c r="N98" s="18">
        <f>M98*L98</f>
        <v>1.75</v>
      </c>
      <c r="O98" s="209"/>
      <c r="P98" s="81">
        <f t="shared" si="4"/>
        <v>0</v>
      </c>
      <c r="Q98" s="210">
        <f t="shared" si="5"/>
        <v>1.75</v>
      </c>
    </row>
    <row r="99" spans="1:18" ht="13.5" thickBot="1" x14ac:dyDescent="0.25">
      <c r="A99" s="205" t="s">
        <v>416</v>
      </c>
      <c r="B99" s="237" t="s">
        <v>481</v>
      </c>
      <c r="C99" s="207">
        <v>315</v>
      </c>
      <c r="D99" s="207" t="s">
        <v>266</v>
      </c>
      <c r="E99" s="207"/>
      <c r="F99" s="207" t="s">
        <v>482</v>
      </c>
      <c r="G99" s="207">
        <v>30</v>
      </c>
      <c r="H99" s="238">
        <v>30</v>
      </c>
      <c r="I99" s="239"/>
      <c r="J99" s="18">
        <v>10</v>
      </c>
      <c r="K99" s="240" t="s">
        <v>462</v>
      </c>
      <c r="L99" s="241">
        <v>0.03</v>
      </c>
      <c r="M99" s="209">
        <f>'Otros insumos'!C$13</f>
        <v>15</v>
      </c>
      <c r="N99" s="226">
        <f>L99*M99</f>
        <v>0.44999999999999996</v>
      </c>
      <c r="O99" s="209">
        <f>G99/H99</f>
        <v>1</v>
      </c>
      <c r="P99" s="226">
        <f t="shared" si="4"/>
        <v>80</v>
      </c>
      <c r="Q99" s="210">
        <f t="shared" si="5"/>
        <v>80.45</v>
      </c>
    </row>
    <row r="100" spans="1:18" x14ac:dyDescent="0.2">
      <c r="A100" s="222" t="s">
        <v>417</v>
      </c>
      <c r="B100" s="46" t="s">
        <v>592</v>
      </c>
      <c r="C100" s="223">
        <v>325</v>
      </c>
      <c r="D100" s="224"/>
      <c r="E100" s="224" t="s">
        <v>476</v>
      </c>
      <c r="F100" s="224" t="s">
        <v>308</v>
      </c>
      <c r="G100" s="223">
        <v>1</v>
      </c>
      <c r="H100" s="65">
        <v>4.26</v>
      </c>
      <c r="I100" s="18"/>
      <c r="J100" s="18">
        <v>10</v>
      </c>
      <c r="K100" s="225" t="s">
        <v>234</v>
      </c>
      <c r="L100" s="18">
        <f>0.86*2</f>
        <v>1.72</v>
      </c>
      <c r="M100" s="54">
        <f>'Insumos 2020'!C$1</f>
        <v>13.99</v>
      </c>
      <c r="N100" s="18">
        <f>M100*L100</f>
        <v>24.062799999999999</v>
      </c>
      <c r="O100" s="18">
        <f>G100/H100</f>
        <v>0.23474178403755869</v>
      </c>
      <c r="P100" s="226">
        <f t="shared" si="4"/>
        <v>18.779342723004696</v>
      </c>
      <c r="Q100" s="210">
        <f t="shared" si="5"/>
        <v>42.842142723004699</v>
      </c>
    </row>
    <row r="101" spans="1:18" x14ac:dyDescent="0.2">
      <c r="A101" s="205" t="s">
        <v>417</v>
      </c>
      <c r="B101" s="229" t="s">
        <v>263</v>
      </c>
      <c r="C101" s="236">
        <v>325</v>
      </c>
      <c r="D101" s="207"/>
      <c r="E101" s="229" t="s">
        <v>476</v>
      </c>
      <c r="F101" s="230" t="s">
        <v>308</v>
      </c>
      <c r="G101" s="230">
        <v>1</v>
      </c>
      <c r="H101" s="65"/>
      <c r="I101" s="209"/>
      <c r="J101" s="209"/>
      <c r="K101" s="102" t="s">
        <v>1367</v>
      </c>
      <c r="L101" s="13">
        <v>0.35</v>
      </c>
      <c r="M101" s="13">
        <v>5</v>
      </c>
      <c r="N101" s="18">
        <f>M101*L101</f>
        <v>1.75</v>
      </c>
      <c r="O101" s="209"/>
      <c r="P101" s="81">
        <f t="shared" si="4"/>
        <v>0</v>
      </c>
      <c r="Q101" s="210">
        <f t="shared" si="5"/>
        <v>1.75</v>
      </c>
    </row>
    <row r="102" spans="1:18" ht="13.5" thickBot="1" x14ac:dyDescent="0.25">
      <c r="A102" s="205" t="s">
        <v>418</v>
      </c>
      <c r="B102" s="237" t="s">
        <v>481</v>
      </c>
      <c r="C102" s="207">
        <v>330</v>
      </c>
      <c r="D102" s="207" t="s">
        <v>266</v>
      </c>
      <c r="E102" s="207"/>
      <c r="F102" s="207" t="s">
        <v>482</v>
      </c>
      <c r="G102" s="207">
        <v>30</v>
      </c>
      <c r="H102" s="238">
        <v>30</v>
      </c>
      <c r="I102" s="239"/>
      <c r="J102" s="18">
        <v>10</v>
      </c>
      <c r="K102" s="240" t="s">
        <v>462</v>
      </c>
      <c r="L102" s="241">
        <v>0.03</v>
      </c>
      <c r="M102" s="209">
        <f>'Otros insumos'!C$13</f>
        <v>15</v>
      </c>
      <c r="N102" s="226">
        <f>L102*M102</f>
        <v>0.44999999999999996</v>
      </c>
      <c r="O102" s="209">
        <f>G102/H102</f>
        <v>1</v>
      </c>
      <c r="P102" s="226">
        <f t="shared" si="4"/>
        <v>80</v>
      </c>
      <c r="Q102" s="210">
        <f t="shared" si="5"/>
        <v>80.45</v>
      </c>
    </row>
    <row r="103" spans="1:18" x14ac:dyDescent="0.2">
      <c r="A103" s="222" t="s">
        <v>419</v>
      </c>
      <c r="B103" s="46" t="s">
        <v>592</v>
      </c>
      <c r="C103" s="223">
        <v>340</v>
      </c>
      <c r="D103" s="224"/>
      <c r="E103" s="224" t="s">
        <v>476</v>
      </c>
      <c r="F103" s="224" t="s">
        <v>308</v>
      </c>
      <c r="G103" s="223">
        <v>1</v>
      </c>
      <c r="H103" s="65">
        <v>4.26</v>
      </c>
      <c r="I103" s="18"/>
      <c r="J103" s="18">
        <v>10</v>
      </c>
      <c r="K103" s="225" t="s">
        <v>234</v>
      </c>
      <c r="L103" s="18">
        <f>0.86*2</f>
        <v>1.72</v>
      </c>
      <c r="M103" s="54">
        <f>'Insumos 2020'!C$1</f>
        <v>13.99</v>
      </c>
      <c r="N103" s="18">
        <f>M103*L103</f>
        <v>24.062799999999999</v>
      </c>
      <c r="O103" s="18">
        <f>G103/H103</f>
        <v>0.23474178403755869</v>
      </c>
      <c r="P103" s="226">
        <f t="shared" si="4"/>
        <v>18.779342723004696</v>
      </c>
      <c r="Q103" s="210">
        <f t="shared" si="5"/>
        <v>42.842142723004699</v>
      </c>
    </row>
    <row r="104" spans="1:18" x14ac:dyDescent="0.2">
      <c r="A104" s="205" t="s">
        <v>419</v>
      </c>
      <c r="B104" s="229" t="s">
        <v>263</v>
      </c>
      <c r="C104" s="236">
        <v>340</v>
      </c>
      <c r="D104" s="207"/>
      <c r="E104" s="229" t="s">
        <v>476</v>
      </c>
      <c r="F104" s="230" t="s">
        <v>308</v>
      </c>
      <c r="G104" s="230">
        <v>1</v>
      </c>
      <c r="H104" s="65"/>
      <c r="I104" s="209"/>
      <c r="J104" s="209"/>
      <c r="K104" s="102" t="s">
        <v>1367</v>
      </c>
      <c r="L104" s="13">
        <v>0.35</v>
      </c>
      <c r="M104" s="13">
        <v>5</v>
      </c>
      <c r="N104" s="18">
        <f>M104*L104</f>
        <v>1.75</v>
      </c>
      <c r="O104" s="209"/>
      <c r="P104" s="81">
        <f t="shared" si="4"/>
        <v>0</v>
      </c>
      <c r="Q104" s="210">
        <f t="shared" si="5"/>
        <v>1.75</v>
      </c>
      <c r="R104" s="249"/>
    </row>
    <row r="105" spans="1:18" ht="13.5" thickBot="1" x14ac:dyDescent="0.25">
      <c r="A105" s="205" t="s">
        <v>420</v>
      </c>
      <c r="B105" s="237" t="s">
        <v>481</v>
      </c>
      <c r="C105" s="207">
        <v>345</v>
      </c>
      <c r="D105" s="207" t="s">
        <v>266</v>
      </c>
      <c r="E105" s="207"/>
      <c r="F105" s="207" t="s">
        <v>482</v>
      </c>
      <c r="G105" s="207">
        <v>30</v>
      </c>
      <c r="H105" s="238">
        <v>30</v>
      </c>
      <c r="I105" s="239"/>
      <c r="J105" s="18">
        <v>10</v>
      </c>
      <c r="K105" s="240" t="s">
        <v>462</v>
      </c>
      <c r="L105" s="241">
        <v>0.03</v>
      </c>
      <c r="M105" s="209">
        <f>'Otros insumos'!C$13</f>
        <v>15</v>
      </c>
      <c r="N105" s="226">
        <f>L105*M105</f>
        <v>0.44999999999999996</v>
      </c>
      <c r="O105" s="209">
        <f>G105/H105</f>
        <v>1</v>
      </c>
      <c r="P105" s="226">
        <f t="shared" si="4"/>
        <v>80</v>
      </c>
      <c r="Q105" s="210">
        <f t="shared" si="5"/>
        <v>80.45</v>
      </c>
      <c r="R105" s="249"/>
    </row>
    <row r="106" spans="1:18" x14ac:dyDescent="0.2">
      <c r="A106" s="205" t="s">
        <v>421</v>
      </c>
      <c r="B106" s="229" t="s">
        <v>460</v>
      </c>
      <c r="C106" s="230">
        <v>350</v>
      </c>
      <c r="D106" s="230" t="s">
        <v>257</v>
      </c>
      <c r="E106" s="229" t="s">
        <v>305</v>
      </c>
      <c r="F106" s="230" t="s">
        <v>437</v>
      </c>
      <c r="G106" s="235">
        <v>24</v>
      </c>
      <c r="H106" s="65">
        <v>48</v>
      </c>
      <c r="I106" s="201">
        <v>10</v>
      </c>
      <c r="J106" s="209"/>
      <c r="K106" s="102" t="s">
        <v>234</v>
      </c>
      <c r="L106" s="13">
        <f>0.86*G106</f>
        <v>20.64</v>
      </c>
      <c r="M106" s="54">
        <f>'Insumos 2020'!C$1</f>
        <v>13.99</v>
      </c>
      <c r="N106" s="18">
        <f>M106*L106</f>
        <v>288.75360000000001</v>
      </c>
      <c r="O106" s="209">
        <f>G106/H106</f>
        <v>0.5</v>
      </c>
      <c r="P106" s="81">
        <f t="shared" si="4"/>
        <v>40</v>
      </c>
      <c r="Q106" s="210">
        <f t="shared" si="5"/>
        <v>328.75360000000001</v>
      </c>
    </row>
    <row r="107" spans="1:18" ht="13.5" thickBot="1" x14ac:dyDescent="0.25">
      <c r="A107" s="205" t="s">
        <v>422</v>
      </c>
      <c r="B107" s="229" t="s">
        <v>922</v>
      </c>
      <c r="C107" s="230">
        <v>350</v>
      </c>
      <c r="D107" s="230" t="s">
        <v>266</v>
      </c>
      <c r="E107" s="229" t="s">
        <v>272</v>
      </c>
      <c r="F107" s="230" t="s">
        <v>437</v>
      </c>
      <c r="G107" s="235">
        <v>24</v>
      </c>
      <c r="H107" s="65">
        <v>0.55000000000000004</v>
      </c>
      <c r="I107" s="209"/>
      <c r="J107" s="18">
        <v>10</v>
      </c>
      <c r="K107" s="102"/>
      <c r="L107" s="13"/>
      <c r="M107" s="13"/>
      <c r="N107" s="18">
        <f>M107*L107</f>
        <v>0</v>
      </c>
      <c r="O107" s="209">
        <f>G107/H107</f>
        <v>43.636363636363633</v>
      </c>
      <c r="P107" s="81">
        <f t="shared" si="4"/>
        <v>3490.9090909090905</v>
      </c>
      <c r="Q107" s="210">
        <f t="shared" si="5"/>
        <v>3490.9090909090905</v>
      </c>
      <c r="R107" s="249"/>
    </row>
    <row r="108" spans="1:18" x14ac:dyDescent="0.2">
      <c r="A108" s="205" t="s">
        <v>423</v>
      </c>
      <c r="B108" s="229" t="s">
        <v>460</v>
      </c>
      <c r="C108" s="230">
        <v>352</v>
      </c>
      <c r="D108" s="230" t="s">
        <v>257</v>
      </c>
      <c r="E108" s="229" t="s">
        <v>305</v>
      </c>
      <c r="F108" s="230" t="s">
        <v>479</v>
      </c>
      <c r="G108" s="235">
        <v>35</v>
      </c>
      <c r="H108" s="65">
        <v>16</v>
      </c>
      <c r="I108" s="201">
        <v>10</v>
      </c>
      <c r="J108" s="209"/>
      <c r="K108" s="102" t="s">
        <v>234</v>
      </c>
      <c r="L108" s="13">
        <f>0.86*35</f>
        <v>30.099999999999998</v>
      </c>
      <c r="M108" s="54">
        <f>'Insumos 2020'!C$1</f>
        <v>13.99</v>
      </c>
      <c r="N108" s="18">
        <f>M108*L108</f>
        <v>421.09899999999999</v>
      </c>
      <c r="O108" s="209">
        <f>G108/H108</f>
        <v>2.1875</v>
      </c>
      <c r="P108" s="81">
        <f t="shared" si="4"/>
        <v>175</v>
      </c>
      <c r="Q108" s="210">
        <f t="shared" si="5"/>
        <v>596.09899999999993</v>
      </c>
      <c r="R108" s="249"/>
    </row>
    <row r="109" spans="1:18" ht="13.5" thickBot="1" x14ac:dyDescent="0.25">
      <c r="A109" s="205" t="s">
        <v>424</v>
      </c>
      <c r="B109" s="229" t="s">
        <v>477</v>
      </c>
      <c r="C109" s="230">
        <v>352</v>
      </c>
      <c r="D109" s="230" t="s">
        <v>266</v>
      </c>
      <c r="E109" s="229" t="s">
        <v>272</v>
      </c>
      <c r="F109" s="230" t="s">
        <v>479</v>
      </c>
      <c r="G109" s="235">
        <v>35</v>
      </c>
      <c r="H109" s="65">
        <v>1.6</v>
      </c>
      <c r="I109" s="209"/>
      <c r="J109" s="18">
        <v>10</v>
      </c>
      <c r="K109" s="102"/>
      <c r="L109" s="13"/>
      <c r="M109" s="13"/>
      <c r="N109" s="18">
        <f>M109*L109</f>
        <v>0</v>
      </c>
      <c r="O109" s="209">
        <f>G109/H109</f>
        <v>21.875</v>
      </c>
      <c r="P109" s="81">
        <f t="shared" si="4"/>
        <v>1750</v>
      </c>
      <c r="Q109" s="210">
        <f t="shared" si="5"/>
        <v>1750</v>
      </c>
    </row>
    <row r="110" spans="1:18" ht="13.5" thickBot="1" x14ac:dyDescent="0.25">
      <c r="A110" s="250"/>
      <c r="B110" s="237"/>
      <c r="C110" s="228"/>
      <c r="D110" s="207"/>
      <c r="E110" s="207"/>
      <c r="F110" s="207"/>
      <c r="G110" s="207"/>
      <c r="H110" s="232"/>
      <c r="I110" s="201">
        <v>10</v>
      </c>
      <c r="J110" s="209"/>
      <c r="K110" s="240"/>
      <c r="L110" s="241"/>
      <c r="M110" s="209"/>
      <c r="N110" s="251"/>
      <c r="O110" s="241"/>
      <c r="P110" s="252"/>
      <c r="Q110" s="253"/>
    </row>
    <row r="111" spans="1:18" ht="13.5" thickBot="1" x14ac:dyDescent="0.25">
      <c r="A111" s="250"/>
      <c r="B111" s="237"/>
      <c r="C111" s="228"/>
      <c r="D111" s="207"/>
      <c r="E111" s="207"/>
      <c r="F111" s="207"/>
      <c r="G111" s="207"/>
      <c r="H111" s="232"/>
      <c r="I111" s="201">
        <v>10</v>
      </c>
      <c r="J111" s="209"/>
      <c r="K111" s="240"/>
      <c r="L111" s="241"/>
      <c r="M111" s="209"/>
      <c r="N111" s="251"/>
      <c r="O111" s="241"/>
      <c r="P111" s="252"/>
      <c r="Q111" s="253"/>
    </row>
    <row r="112" spans="1:18" ht="13.5" thickBot="1" x14ac:dyDescent="0.25">
      <c r="A112" s="2087" t="s">
        <v>480</v>
      </c>
      <c r="B112" s="2088"/>
      <c r="C112" s="2088"/>
      <c r="D112" s="2088"/>
      <c r="E112" s="2088"/>
      <c r="F112" s="2088"/>
      <c r="G112" s="2088"/>
      <c r="H112" s="232"/>
      <c r="I112" s="201">
        <v>10</v>
      </c>
      <c r="J112" s="237"/>
      <c r="K112" s="102" t="s">
        <v>290</v>
      </c>
      <c r="L112" s="53">
        <f>53*22</f>
        <v>1166</v>
      </c>
      <c r="M112" s="13">
        <v>0.17</v>
      </c>
      <c r="N112" s="18">
        <f>L112*M112</f>
        <v>198.22000000000003</v>
      </c>
      <c r="O112" s="209"/>
      <c r="P112" s="255"/>
      <c r="Q112" s="210">
        <f>N112+P112</f>
        <v>198.22000000000003</v>
      </c>
    </row>
    <row r="113" spans="1:17" ht="13.5" thickBot="1" x14ac:dyDescent="0.25">
      <c r="A113" s="2100" t="s">
        <v>219</v>
      </c>
      <c r="B113" s="2101"/>
      <c r="C113" s="55"/>
      <c r="D113" s="244"/>
      <c r="E113" s="244"/>
      <c r="F113" s="244"/>
      <c r="G113" s="244"/>
      <c r="H113" s="256"/>
      <c r="I113" s="201">
        <v>10</v>
      </c>
      <c r="J113" s="247"/>
      <c r="K113" s="248"/>
      <c r="L113" s="56"/>
      <c r="M113" s="56"/>
      <c r="N113" s="56">
        <f>SUM(N9:N112)</f>
        <v>12135.005925037263</v>
      </c>
      <c r="O113" s="56">
        <f>SUM(O9:O112)</f>
        <v>133.11957121516983</v>
      </c>
      <c r="P113" s="257">
        <f>I113*O113*8</f>
        <v>10649.565697213586</v>
      </c>
      <c r="Q113" s="73">
        <f>SUM(Q9:Q112)</f>
        <v>22304.571622250845</v>
      </c>
    </row>
    <row r="114" spans="1:17" ht="13.5" thickBot="1" x14ac:dyDescent="0.25">
      <c r="A114" s="258"/>
      <c r="B114" s="259"/>
      <c r="C114" s="260"/>
      <c r="D114" s="261"/>
      <c r="E114" s="261"/>
      <c r="F114" s="261"/>
      <c r="G114" s="262"/>
      <c r="H114" s="263"/>
      <c r="I114" s="264"/>
      <c r="J114" s="264"/>
      <c r="K114" s="265"/>
      <c r="L114" s="264"/>
      <c r="M114" s="264"/>
      <c r="N114" s="267"/>
      <c r="O114" s="266"/>
      <c r="P114" s="67"/>
      <c r="Q114" s="268"/>
    </row>
    <row r="115" spans="1:17" x14ac:dyDescent="0.2">
      <c r="A115" s="269" t="s">
        <v>250</v>
      </c>
      <c r="B115" s="259"/>
      <c r="C115" s="260"/>
      <c r="D115" s="259"/>
      <c r="E115" s="259"/>
      <c r="F115" s="259"/>
      <c r="G115" s="270"/>
      <c r="H115" s="263"/>
      <c r="I115" s="271"/>
      <c r="J115" s="271"/>
      <c r="K115" s="265"/>
      <c r="L115" s="266"/>
      <c r="M115" s="264"/>
      <c r="N115" s="267"/>
      <c r="O115" s="266"/>
      <c r="P115" s="2080" t="s">
        <v>244</v>
      </c>
      <c r="Q115" s="1870"/>
    </row>
    <row r="116" spans="1:17" ht="13.5" thickBot="1" x14ac:dyDescent="0.25">
      <c r="A116" s="269"/>
      <c r="B116" s="259"/>
      <c r="C116" s="260"/>
      <c r="D116" s="259"/>
      <c r="E116" s="259"/>
      <c r="F116" s="259"/>
      <c r="G116" s="270"/>
      <c r="H116" s="263"/>
      <c r="I116" s="271"/>
      <c r="J116" s="271"/>
      <c r="K116" s="265"/>
      <c r="L116" s="266"/>
      <c r="M116" s="264"/>
      <c r="N116" s="267"/>
      <c r="O116" s="264"/>
      <c r="P116" s="2078">
        <f ca="1">TODAY()</f>
        <v>45398</v>
      </c>
      <c r="Q116" s="2079"/>
    </row>
    <row r="117" spans="1:17" ht="13.5" thickBot="1" x14ac:dyDescent="0.25">
      <c r="A117" s="272" t="s">
        <v>251</v>
      </c>
      <c r="B117" s="273"/>
      <c r="C117" s="274"/>
      <c r="D117" s="273"/>
      <c r="E117" s="273"/>
      <c r="F117" s="273"/>
      <c r="G117" s="275"/>
      <c r="H117" s="276"/>
      <c r="I117" s="277"/>
      <c r="J117" s="277"/>
      <c r="K117" s="278"/>
      <c r="L117" s="195"/>
      <c r="M117" s="292"/>
      <c r="N117" s="279"/>
      <c r="O117" s="195"/>
      <c r="P117" s="280"/>
      <c r="Q117" s="281"/>
    </row>
    <row r="118" spans="1:17" x14ac:dyDescent="0.2">
      <c r="A118" s="35"/>
      <c r="B118" s="35"/>
      <c r="C118" s="84"/>
      <c r="D118" s="17"/>
      <c r="E118" s="17"/>
      <c r="F118" s="17"/>
      <c r="G118" s="17"/>
      <c r="H118" s="66"/>
      <c r="I118" s="52"/>
      <c r="J118" s="52"/>
      <c r="K118" s="92"/>
      <c r="L118" s="17"/>
      <c r="M118" s="52"/>
      <c r="N118" s="17"/>
      <c r="O118" s="2058"/>
      <c r="P118" s="2057"/>
      <c r="Q118" s="2057"/>
    </row>
    <row r="119" spans="1:17" x14ac:dyDescent="0.2">
      <c r="L119" s="286"/>
    </row>
  </sheetData>
  <autoFilter ref="A8:S113"/>
  <mergeCells count="23">
    <mergeCell ref="O118:Q118"/>
    <mergeCell ref="P116:Q116"/>
    <mergeCell ref="P115:Q115"/>
    <mergeCell ref="G5:G7"/>
    <mergeCell ref="H5:H7"/>
    <mergeCell ref="A112:G112"/>
    <mergeCell ref="K5:N6"/>
    <mergeCell ref="F6:F7"/>
    <mergeCell ref="P5:P7"/>
    <mergeCell ref="A113:B113"/>
    <mergeCell ref="A4:A7"/>
    <mergeCell ref="Q5:Q7"/>
    <mergeCell ref="O5:O7"/>
    <mergeCell ref="B4:B7"/>
    <mergeCell ref="I5:J6"/>
    <mergeCell ref="C4:C7"/>
    <mergeCell ref="D4:N4"/>
    <mergeCell ref="O4:Q4"/>
    <mergeCell ref="A1:Q1"/>
    <mergeCell ref="A2:Q2"/>
    <mergeCell ref="A3:D3"/>
    <mergeCell ref="E3:I3"/>
    <mergeCell ref="M3:O3"/>
  </mergeCells>
  <phoneticPr fontId="7" type="noConversion"/>
  <pageMargins left="0.59055118110236227" right="0" top="0.39370078740157483" bottom="0.39370078740157483" header="0" footer="0"/>
  <pageSetup orientation="landscape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indexed="33"/>
  </sheetPr>
  <dimension ref="A1:T155"/>
  <sheetViews>
    <sheetView showGridLines="0" showZeros="0" defaultGridColor="0" topLeftCell="A7" colorId="23" zoomScaleNormal="100" workbookViewId="0">
      <selection activeCell="O14" sqref="O14"/>
    </sheetView>
  </sheetViews>
  <sheetFormatPr baseColWidth="10" defaultColWidth="11.42578125" defaultRowHeight="12.75" x14ac:dyDescent="0.2"/>
  <cols>
    <col min="1" max="1" width="4.42578125" style="282" customWidth="1"/>
    <col min="2" max="2" width="19.5703125" style="283" customWidth="1"/>
    <col min="3" max="3" width="6.5703125" style="282" customWidth="1"/>
    <col min="4" max="4" width="9.42578125" style="282" customWidth="1"/>
    <col min="5" max="5" width="9.42578125" style="196" customWidth="1"/>
    <col min="6" max="6" width="5.5703125" style="282" customWidth="1"/>
    <col min="7" max="7" width="6.7109375" style="282" customWidth="1"/>
    <col min="8" max="8" width="7" style="401" customWidth="1"/>
    <col min="9" max="10" width="8.5703125" style="330" hidden="1" customWidth="1"/>
    <col min="11" max="11" width="5.28515625" style="288" customWidth="1"/>
    <col min="12" max="12" width="5.7109375" style="288" customWidth="1"/>
    <col min="13" max="13" width="12.5703125" style="283" customWidth="1"/>
    <col min="14" max="14" width="12.5703125" style="283" hidden="1" customWidth="1"/>
    <col min="15" max="15" width="7.7109375" style="288" customWidth="1"/>
    <col min="16" max="16" width="8.28515625" style="288" customWidth="1"/>
    <col min="17" max="17" width="9" style="289" customWidth="1"/>
    <col min="18" max="18" width="8.28515625" style="288" customWidth="1"/>
    <col min="19" max="19" width="9.28515625" style="290" customWidth="1"/>
    <col min="20" max="20" width="9.28515625" style="288" customWidth="1"/>
    <col min="21" max="21" width="9.28515625" style="191" customWidth="1"/>
    <col min="22" max="16384" width="11.42578125" style="191"/>
  </cols>
  <sheetData>
    <row r="1" spans="1:20" ht="16.5" customHeight="1" x14ac:dyDescent="0.3">
      <c r="A1" s="2062" t="s">
        <v>231</v>
      </c>
      <c r="B1" s="2063"/>
      <c r="C1" s="2063"/>
      <c r="D1" s="2063"/>
      <c r="E1" s="2063"/>
      <c r="F1" s="2063"/>
      <c r="G1" s="2063"/>
      <c r="H1" s="2063"/>
      <c r="I1" s="2063"/>
      <c r="J1" s="2063"/>
      <c r="K1" s="2063"/>
      <c r="L1" s="2063"/>
      <c r="M1" s="2063"/>
      <c r="N1" s="2063"/>
      <c r="O1" s="2063"/>
      <c r="P1" s="2063"/>
      <c r="Q1" s="2063"/>
      <c r="R1" s="2063"/>
      <c r="S1" s="2063"/>
      <c r="T1" s="2066"/>
    </row>
    <row r="2" spans="1:20" ht="16.5" customHeight="1" x14ac:dyDescent="0.3">
      <c r="A2" s="2067"/>
      <c r="B2" s="2118"/>
      <c r="C2" s="2118"/>
      <c r="D2" s="2118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10"/>
    </row>
    <row r="3" spans="1:20" ht="16.5" thickBot="1" x14ac:dyDescent="0.3">
      <c r="A3" s="2072" t="s">
        <v>301</v>
      </c>
      <c r="B3" s="2073"/>
      <c r="C3" s="2073"/>
      <c r="D3" s="2073"/>
      <c r="E3" s="2075" t="s">
        <v>277</v>
      </c>
      <c r="F3" s="2075"/>
      <c r="G3" s="2075"/>
      <c r="H3" s="2075"/>
      <c r="I3" s="2075"/>
      <c r="J3" s="2075"/>
      <c r="K3" s="2075"/>
      <c r="L3" s="192">
        <v>17</v>
      </c>
      <c r="M3" s="273" t="s">
        <v>278</v>
      </c>
      <c r="N3" s="273"/>
      <c r="O3" s="192"/>
      <c r="P3" s="2077" t="s">
        <v>279</v>
      </c>
      <c r="Q3" s="2077"/>
      <c r="R3" s="2077"/>
      <c r="S3" s="89"/>
      <c r="T3" s="20"/>
    </row>
    <row r="4" spans="1:20" s="397" customFormat="1" ht="13.5" thickBot="1" x14ac:dyDescent="0.25">
      <c r="A4" s="2124" t="s">
        <v>223</v>
      </c>
      <c r="B4" s="2126" t="s">
        <v>1975</v>
      </c>
      <c r="C4" s="2119" t="s">
        <v>252</v>
      </c>
      <c r="D4" s="2127" t="s">
        <v>216</v>
      </c>
      <c r="E4" s="2060"/>
      <c r="F4" s="2060"/>
      <c r="G4" s="2060"/>
      <c r="H4" s="2060"/>
      <c r="I4" s="2060"/>
      <c r="J4" s="2060"/>
      <c r="K4" s="2060"/>
      <c r="L4" s="2060"/>
      <c r="M4" s="2060"/>
      <c r="N4" s="2060"/>
      <c r="O4" s="2060"/>
      <c r="P4" s="2060"/>
      <c r="Q4" s="2061"/>
      <c r="R4" s="2060" t="s">
        <v>217</v>
      </c>
      <c r="S4" s="2060"/>
      <c r="T4" s="2061"/>
    </row>
    <row r="5" spans="1:20" s="397" customFormat="1" x14ac:dyDescent="0.2">
      <c r="A5" s="2124"/>
      <c r="B5" s="2126"/>
      <c r="C5" s="2135"/>
      <c r="D5" s="51"/>
      <c r="E5" s="93"/>
      <c r="F5" s="51"/>
      <c r="G5" s="2081" t="s">
        <v>287</v>
      </c>
      <c r="H5" s="2128" t="s">
        <v>288</v>
      </c>
      <c r="I5" s="96"/>
      <c r="J5" s="96"/>
      <c r="K5" s="2089" t="s">
        <v>235</v>
      </c>
      <c r="L5" s="2091"/>
      <c r="M5" s="2089" t="s">
        <v>218</v>
      </c>
      <c r="N5" s="2090"/>
      <c r="O5" s="2090"/>
      <c r="P5" s="2090"/>
      <c r="Q5" s="2091"/>
      <c r="R5" s="2134" t="s">
        <v>221</v>
      </c>
      <c r="S5" s="2131" t="s">
        <v>222</v>
      </c>
      <c r="T5" s="2119" t="s">
        <v>296</v>
      </c>
    </row>
    <row r="6" spans="1:20" s="397" customFormat="1" ht="13.5" thickBot="1" x14ac:dyDescent="0.25">
      <c r="A6" s="2124"/>
      <c r="B6" s="2126"/>
      <c r="C6" s="2135"/>
      <c r="D6" s="32" t="s">
        <v>236</v>
      </c>
      <c r="E6" s="91" t="s">
        <v>237</v>
      </c>
      <c r="F6" s="2095" t="s">
        <v>226</v>
      </c>
      <c r="G6" s="2082"/>
      <c r="H6" s="2129"/>
      <c r="I6" s="398"/>
      <c r="J6" s="398"/>
      <c r="K6" s="2092"/>
      <c r="L6" s="2094"/>
      <c r="M6" s="2092"/>
      <c r="N6" s="2093"/>
      <c r="O6" s="2093"/>
      <c r="P6" s="2093"/>
      <c r="Q6" s="2094"/>
      <c r="R6" s="2125"/>
      <c r="S6" s="2132"/>
      <c r="T6" s="2120"/>
    </row>
    <row r="7" spans="1:20" s="397" customFormat="1" ht="13.5" thickBot="1" x14ac:dyDescent="0.25">
      <c r="A7" s="2125"/>
      <c r="B7" s="2094"/>
      <c r="C7" s="2136"/>
      <c r="D7" s="32" t="s">
        <v>238</v>
      </c>
      <c r="E7" s="94" t="s">
        <v>238</v>
      </c>
      <c r="F7" s="2096"/>
      <c r="G7" s="2083"/>
      <c r="H7" s="2130"/>
      <c r="I7" s="399"/>
      <c r="J7" s="399"/>
      <c r="K7" s="30" t="s">
        <v>239</v>
      </c>
      <c r="L7" s="49" t="s">
        <v>240</v>
      </c>
      <c r="M7" s="30" t="s">
        <v>225</v>
      </c>
      <c r="N7" s="30"/>
      <c r="O7" s="30" t="s">
        <v>220</v>
      </c>
      <c r="P7" s="30" t="s">
        <v>227</v>
      </c>
      <c r="Q7" s="49" t="s">
        <v>241</v>
      </c>
      <c r="R7" s="837"/>
      <c r="S7" s="2133"/>
      <c r="T7" s="2120"/>
    </row>
    <row r="8" spans="1:20" s="196" customFormat="1" ht="13.5" thickBot="1" x14ac:dyDescent="0.25">
      <c r="A8" s="51">
        <v>1</v>
      </c>
      <c r="B8" s="31">
        <v>2</v>
      </c>
      <c r="C8" s="37">
        <v>3</v>
      </c>
      <c r="D8" s="82">
        <v>4</v>
      </c>
      <c r="E8" s="31">
        <v>5</v>
      </c>
      <c r="F8" s="31">
        <v>6</v>
      </c>
      <c r="G8" s="31">
        <v>7</v>
      </c>
      <c r="H8" s="61">
        <v>8</v>
      </c>
      <c r="I8" s="31"/>
      <c r="J8" s="31"/>
      <c r="K8" s="31">
        <v>9</v>
      </c>
      <c r="L8" s="31">
        <v>10</v>
      </c>
      <c r="M8" s="31">
        <v>11</v>
      </c>
      <c r="N8" s="31"/>
      <c r="O8" s="31">
        <v>12</v>
      </c>
      <c r="P8" s="31">
        <v>13</v>
      </c>
      <c r="Q8" s="33" t="s">
        <v>298</v>
      </c>
      <c r="R8" s="32" t="s">
        <v>299</v>
      </c>
      <c r="S8" s="51" t="s">
        <v>300</v>
      </c>
      <c r="T8" s="51" t="s">
        <v>636</v>
      </c>
    </row>
    <row r="9" spans="1:20" ht="13.5" thickBot="1" x14ac:dyDescent="0.25">
      <c r="A9" s="302" t="s">
        <v>441</v>
      </c>
      <c r="B9" s="372" t="s">
        <v>253</v>
      </c>
      <c r="C9" s="304">
        <v>-45</v>
      </c>
      <c r="D9" s="304" t="s">
        <v>257</v>
      </c>
      <c r="E9" s="372" t="s">
        <v>327</v>
      </c>
      <c r="F9" s="304" t="s">
        <v>308</v>
      </c>
      <c r="G9" s="304">
        <v>1</v>
      </c>
      <c r="H9" s="372">
        <v>1.25</v>
      </c>
      <c r="I9" s="372"/>
      <c r="J9" s="372"/>
      <c r="K9" s="201">
        <v>10</v>
      </c>
      <c r="L9" s="306"/>
      <c r="M9" s="391" t="s">
        <v>234</v>
      </c>
      <c r="N9" s="391"/>
      <c r="O9" s="306">
        <v>32.4</v>
      </c>
      <c r="P9" s="54">
        <f>'PRECIOS INSUMOS 2015'!C$5</f>
        <v>2</v>
      </c>
      <c r="Q9" s="57">
        <f t="shared" ref="Q9:Q21" si="0">P9*O9</f>
        <v>64.8</v>
      </c>
      <c r="R9" s="306">
        <f t="shared" ref="R9:R15" si="1">G9/H9</f>
        <v>0.8</v>
      </c>
      <c r="S9" s="308">
        <f>(K9+L9)*R9*8</f>
        <v>64</v>
      </c>
      <c r="T9" s="306">
        <f>S9+Q9</f>
        <v>128.80000000000001</v>
      </c>
    </row>
    <row r="10" spans="1:20" ht="13.5" thickBot="1" x14ac:dyDescent="0.25">
      <c r="A10" s="302" t="s">
        <v>442</v>
      </c>
      <c r="B10" s="206" t="s">
        <v>328</v>
      </c>
      <c r="C10" s="207">
        <v>-30</v>
      </c>
      <c r="D10" s="304" t="s">
        <v>257</v>
      </c>
      <c r="E10" s="206" t="s">
        <v>329</v>
      </c>
      <c r="F10" s="304" t="s">
        <v>308</v>
      </c>
      <c r="G10" s="207">
        <v>1</v>
      </c>
      <c r="H10" s="206">
        <v>4</v>
      </c>
      <c r="I10" s="372"/>
      <c r="J10" s="372"/>
      <c r="K10" s="201">
        <v>10</v>
      </c>
      <c r="L10" s="209"/>
      <c r="M10" s="391" t="s">
        <v>234</v>
      </c>
      <c r="N10" s="391"/>
      <c r="O10" s="306">
        <v>3.12</v>
      </c>
      <c r="P10" s="54">
        <f>'PRECIOS INSUMOS 2015'!C$5</f>
        <v>2</v>
      </c>
      <c r="Q10" s="18">
        <f t="shared" si="0"/>
        <v>6.24</v>
      </c>
      <c r="R10" s="209">
        <f t="shared" si="1"/>
        <v>0.25</v>
      </c>
      <c r="S10" s="308">
        <f t="shared" ref="S10:S69" si="2">(K10+L10)*R10*8</f>
        <v>20</v>
      </c>
      <c r="T10" s="306">
        <f t="shared" ref="T10:T43" si="3">S10+Q10</f>
        <v>26.240000000000002</v>
      </c>
    </row>
    <row r="11" spans="1:20" ht="13.5" thickBot="1" x14ac:dyDescent="0.25">
      <c r="A11" s="302" t="s">
        <v>443</v>
      </c>
      <c r="B11" s="206" t="s">
        <v>258</v>
      </c>
      <c r="C11" s="207">
        <v>-20</v>
      </c>
      <c r="D11" s="304" t="s">
        <v>257</v>
      </c>
      <c r="E11" s="206" t="s">
        <v>327</v>
      </c>
      <c r="F11" s="304" t="s">
        <v>308</v>
      </c>
      <c r="G11" s="207">
        <v>1</v>
      </c>
      <c r="H11" s="206">
        <v>1.25</v>
      </c>
      <c r="I11" s="372"/>
      <c r="J11" s="372"/>
      <c r="K11" s="201">
        <v>10</v>
      </c>
      <c r="L11" s="209"/>
      <c r="M11" s="391" t="s">
        <v>234</v>
      </c>
      <c r="N11" s="391"/>
      <c r="O11" s="306">
        <v>22.68</v>
      </c>
      <c r="P11" s="54">
        <f>'PRECIOS INSUMOS 2015'!C$5</f>
        <v>2</v>
      </c>
      <c r="Q11" s="18">
        <f t="shared" si="0"/>
        <v>45.36</v>
      </c>
      <c r="R11" s="209">
        <f t="shared" si="1"/>
        <v>0.8</v>
      </c>
      <c r="S11" s="308">
        <f t="shared" si="2"/>
        <v>64</v>
      </c>
      <c r="T11" s="306">
        <f t="shared" si="3"/>
        <v>109.36</v>
      </c>
    </row>
    <row r="12" spans="1:20" ht="13.5" thickBot="1" x14ac:dyDescent="0.25">
      <c r="A12" s="302" t="s">
        <v>444</v>
      </c>
      <c r="B12" s="206" t="s">
        <v>328</v>
      </c>
      <c r="C12" s="207">
        <v>-15</v>
      </c>
      <c r="D12" s="304" t="s">
        <v>257</v>
      </c>
      <c r="E12" s="206" t="s">
        <v>329</v>
      </c>
      <c r="F12" s="304" t="s">
        <v>308</v>
      </c>
      <c r="G12" s="207">
        <v>1</v>
      </c>
      <c r="H12" s="206">
        <v>4</v>
      </c>
      <c r="I12" s="372"/>
      <c r="J12" s="372"/>
      <c r="K12" s="201">
        <v>10</v>
      </c>
      <c r="L12" s="209"/>
      <c r="M12" s="391" t="s">
        <v>234</v>
      </c>
      <c r="N12" s="391"/>
      <c r="O12" s="306">
        <v>3.12</v>
      </c>
      <c r="P12" s="54">
        <f>'PRECIOS INSUMOS 2015'!C$5</f>
        <v>2</v>
      </c>
      <c r="Q12" s="18">
        <f t="shared" si="0"/>
        <v>6.24</v>
      </c>
      <c r="R12" s="209">
        <f t="shared" si="1"/>
        <v>0.25</v>
      </c>
      <c r="S12" s="308">
        <f t="shared" si="2"/>
        <v>20</v>
      </c>
      <c r="T12" s="306">
        <f t="shared" si="3"/>
        <v>26.240000000000002</v>
      </c>
    </row>
    <row r="13" spans="1:20" ht="13.5" thickBot="1" x14ac:dyDescent="0.25">
      <c r="A13" s="302" t="s">
        <v>445</v>
      </c>
      <c r="B13" s="206" t="s">
        <v>440</v>
      </c>
      <c r="C13" s="207">
        <v>-12</v>
      </c>
      <c r="D13" s="304" t="s">
        <v>257</v>
      </c>
      <c r="E13" s="206" t="s">
        <v>330</v>
      </c>
      <c r="F13" s="304" t="s">
        <v>308</v>
      </c>
      <c r="G13" s="207">
        <v>1</v>
      </c>
      <c r="H13" s="206">
        <v>0.21</v>
      </c>
      <c r="I13" s="372"/>
      <c r="J13" s="372"/>
      <c r="K13" s="201">
        <v>10</v>
      </c>
      <c r="L13" s="209"/>
      <c r="M13" s="391" t="s">
        <v>234</v>
      </c>
      <c r="N13" s="391"/>
      <c r="O13" s="306">
        <v>6.67</v>
      </c>
      <c r="P13" s="54">
        <f>'PRECIOS INSUMOS 2015'!C$5</f>
        <v>2</v>
      </c>
      <c r="Q13" s="18">
        <f t="shared" si="0"/>
        <v>13.34</v>
      </c>
      <c r="R13" s="209">
        <f t="shared" si="1"/>
        <v>4.7619047619047619</v>
      </c>
      <c r="S13" s="308">
        <f t="shared" si="2"/>
        <v>380.95238095238096</v>
      </c>
      <c r="T13" s="306">
        <f t="shared" si="3"/>
        <v>394.29238095238094</v>
      </c>
    </row>
    <row r="14" spans="1:20" ht="13.5" thickBot="1" x14ac:dyDescent="0.25">
      <c r="A14" s="302" t="s">
        <v>446</v>
      </c>
      <c r="B14" s="211" t="s">
        <v>332</v>
      </c>
      <c r="C14" s="207">
        <v>-3</v>
      </c>
      <c r="D14" s="304" t="s">
        <v>257</v>
      </c>
      <c r="E14" s="206" t="s">
        <v>333</v>
      </c>
      <c r="F14" s="304" t="s">
        <v>308</v>
      </c>
      <c r="G14" s="207">
        <v>1</v>
      </c>
      <c r="H14" s="206">
        <v>8</v>
      </c>
      <c r="I14" s="372"/>
      <c r="J14" s="372"/>
      <c r="K14" s="201">
        <v>10</v>
      </c>
      <c r="L14" s="209"/>
      <c r="M14" s="233" t="s">
        <v>234</v>
      </c>
      <c r="N14" s="233"/>
      <c r="O14" s="209">
        <f>97.97/13.42</f>
        <v>7.3002980625931446</v>
      </c>
      <c r="P14" s="54">
        <f>'PRECIOS INSUMOS 2015'!C$5</f>
        <v>2</v>
      </c>
      <c r="Q14" s="18">
        <f t="shared" si="0"/>
        <v>14.600596125186289</v>
      </c>
      <c r="R14" s="209">
        <f t="shared" si="1"/>
        <v>0.125</v>
      </c>
      <c r="S14" s="308">
        <f t="shared" si="2"/>
        <v>10</v>
      </c>
      <c r="T14" s="306">
        <f t="shared" si="3"/>
        <v>24.600596125186289</v>
      </c>
    </row>
    <row r="15" spans="1:20" x14ac:dyDescent="0.2">
      <c r="A15" s="302" t="s">
        <v>447</v>
      </c>
      <c r="B15" s="206" t="s">
        <v>331</v>
      </c>
      <c r="C15" s="207">
        <v>-3</v>
      </c>
      <c r="D15" s="304" t="s">
        <v>257</v>
      </c>
      <c r="E15" s="212" t="s">
        <v>305</v>
      </c>
      <c r="F15" s="207" t="s">
        <v>436</v>
      </c>
      <c r="G15" s="207">
        <v>0.8</v>
      </c>
      <c r="H15" s="206">
        <v>1.49</v>
      </c>
      <c r="I15" s="372"/>
      <c r="J15" s="372"/>
      <c r="K15" s="201">
        <v>10</v>
      </c>
      <c r="L15" s="209"/>
      <c r="M15" s="233" t="s">
        <v>234</v>
      </c>
      <c r="N15" s="233"/>
      <c r="O15" s="209">
        <f>0.86*0.8</f>
        <v>0.68800000000000006</v>
      </c>
      <c r="P15" s="54">
        <f>'PRECIOS INSUMOS 2015'!C$5</f>
        <v>2</v>
      </c>
      <c r="Q15" s="18">
        <f t="shared" si="0"/>
        <v>1.3760000000000001</v>
      </c>
      <c r="R15" s="209">
        <f t="shared" si="1"/>
        <v>0.53691275167785235</v>
      </c>
      <c r="S15" s="308">
        <f t="shared" si="2"/>
        <v>42.95302013422819</v>
      </c>
      <c r="T15" s="306">
        <f t="shared" si="3"/>
        <v>44.329020134228188</v>
      </c>
    </row>
    <row r="16" spans="1:20" x14ac:dyDescent="0.2">
      <c r="A16" s="302" t="s">
        <v>448</v>
      </c>
      <c r="B16" s="211" t="s">
        <v>332</v>
      </c>
      <c r="C16" s="207">
        <v>-3</v>
      </c>
      <c r="D16" s="304" t="s">
        <v>257</v>
      </c>
      <c r="E16" s="212" t="s">
        <v>305</v>
      </c>
      <c r="F16" s="207" t="s">
        <v>436</v>
      </c>
      <c r="G16" s="207">
        <v>0.8</v>
      </c>
      <c r="H16" s="206"/>
      <c r="I16" s="372"/>
      <c r="J16" s="372"/>
      <c r="K16" s="306"/>
      <c r="L16" s="209"/>
      <c r="M16" s="233" t="s">
        <v>633</v>
      </c>
      <c r="N16" s="233"/>
      <c r="O16" s="209">
        <v>0.8</v>
      </c>
      <c r="P16" s="13">
        <f>'PRECIOS INSUMOS 2015'!E$166</f>
        <v>1250</v>
      </c>
      <c r="Q16" s="18">
        <f t="shared" si="0"/>
        <v>1000</v>
      </c>
      <c r="R16" s="209"/>
      <c r="S16" s="308">
        <f t="shared" si="2"/>
        <v>0</v>
      </c>
      <c r="T16" s="306">
        <f t="shared" si="3"/>
        <v>1000</v>
      </c>
    </row>
    <row r="17" spans="1:20" x14ac:dyDescent="0.2">
      <c r="A17" s="302" t="s">
        <v>449</v>
      </c>
      <c r="B17" s="206" t="s">
        <v>336</v>
      </c>
      <c r="C17" s="207">
        <v>-3</v>
      </c>
      <c r="D17" s="1" t="s">
        <v>266</v>
      </c>
      <c r="E17" s="206" t="s">
        <v>266</v>
      </c>
      <c r="F17" s="207" t="s">
        <v>310</v>
      </c>
      <c r="G17" s="207">
        <v>90</v>
      </c>
      <c r="H17" s="206">
        <v>10</v>
      </c>
      <c r="I17" s="206"/>
      <c r="J17" s="206"/>
      <c r="K17" s="209"/>
      <c r="L17" s="209">
        <v>10</v>
      </c>
      <c r="M17" s="46" t="s">
        <v>1465</v>
      </c>
      <c r="N17" s="46"/>
      <c r="O17" s="226">
        <v>50</v>
      </c>
      <c r="P17" s="13">
        <f>'PRECIOS INSUMOS 2015'!H$31</f>
        <v>30</v>
      </c>
      <c r="Q17" s="18">
        <f t="shared" si="0"/>
        <v>1500</v>
      </c>
      <c r="R17" s="209">
        <f>G17/H17</f>
        <v>9</v>
      </c>
      <c r="S17" s="308">
        <f t="shared" si="2"/>
        <v>720</v>
      </c>
      <c r="T17" s="306">
        <f t="shared" si="3"/>
        <v>2220</v>
      </c>
    </row>
    <row r="18" spans="1:20" x14ac:dyDescent="0.2">
      <c r="A18" s="302" t="s">
        <v>337</v>
      </c>
      <c r="B18" s="206" t="s">
        <v>338</v>
      </c>
      <c r="C18" s="207">
        <v>-3</v>
      </c>
      <c r="D18" s="1" t="s">
        <v>266</v>
      </c>
      <c r="E18" s="206" t="s">
        <v>266</v>
      </c>
      <c r="F18" s="207" t="s">
        <v>310</v>
      </c>
      <c r="G18" s="207">
        <v>90</v>
      </c>
      <c r="H18" s="206">
        <v>10</v>
      </c>
      <c r="I18" s="206"/>
      <c r="J18" s="206"/>
      <c r="K18" s="209"/>
      <c r="L18" s="209">
        <v>10</v>
      </c>
      <c r="M18" s="233"/>
      <c r="N18" s="233"/>
      <c r="O18" s="209"/>
      <c r="P18" s="13"/>
      <c r="Q18" s="18">
        <f t="shared" si="0"/>
        <v>0</v>
      </c>
      <c r="R18" s="209">
        <f>G18/H18</f>
        <v>9</v>
      </c>
      <c r="S18" s="308">
        <f t="shared" si="2"/>
        <v>720</v>
      </c>
      <c r="T18" s="306">
        <f t="shared" si="3"/>
        <v>720</v>
      </c>
    </row>
    <row r="19" spans="1:20" x14ac:dyDescent="0.2">
      <c r="A19" s="302" t="s">
        <v>339</v>
      </c>
      <c r="B19" s="206" t="s">
        <v>340</v>
      </c>
      <c r="C19" s="207">
        <v>-3</v>
      </c>
      <c r="D19" s="1" t="s">
        <v>266</v>
      </c>
      <c r="E19" s="206" t="s">
        <v>266</v>
      </c>
      <c r="F19" s="207" t="s">
        <v>310</v>
      </c>
      <c r="G19" s="207">
        <v>90</v>
      </c>
      <c r="H19" s="206">
        <v>90</v>
      </c>
      <c r="I19" s="206"/>
      <c r="J19" s="206"/>
      <c r="K19" s="209"/>
      <c r="L19" s="209">
        <v>10</v>
      </c>
      <c r="M19" s="233"/>
      <c r="N19" s="233"/>
      <c r="O19" s="209"/>
      <c r="P19" s="234"/>
      <c r="Q19" s="18">
        <f t="shared" si="0"/>
        <v>0</v>
      </c>
      <c r="R19" s="209">
        <f>G19/H19</f>
        <v>1</v>
      </c>
      <c r="S19" s="308">
        <f t="shared" si="2"/>
        <v>80</v>
      </c>
      <c r="T19" s="306">
        <f t="shared" si="3"/>
        <v>80</v>
      </c>
    </row>
    <row r="20" spans="1:20" x14ac:dyDescent="0.2">
      <c r="A20" s="302" t="s">
        <v>341</v>
      </c>
      <c r="B20" s="374" t="s">
        <v>334</v>
      </c>
      <c r="C20" s="375">
        <v>-3</v>
      </c>
      <c r="D20" s="1" t="s">
        <v>266</v>
      </c>
      <c r="E20" s="374" t="s">
        <v>335</v>
      </c>
      <c r="F20" s="207" t="s">
        <v>310</v>
      </c>
      <c r="G20" s="207">
        <v>90</v>
      </c>
      <c r="H20" s="374">
        <v>90</v>
      </c>
      <c r="I20" s="374"/>
      <c r="J20" s="374"/>
      <c r="K20" s="209"/>
      <c r="L20" s="209">
        <v>10</v>
      </c>
      <c r="M20" s="233" t="s">
        <v>574</v>
      </c>
      <c r="N20" s="233"/>
      <c r="O20" s="209">
        <v>15</v>
      </c>
      <c r="P20" s="13">
        <f>'PRECIOS INSUMOS 2015'!H$30</f>
        <v>8.9499999999999993</v>
      </c>
      <c r="Q20" s="18">
        <f t="shared" si="0"/>
        <v>134.25</v>
      </c>
      <c r="R20" s="209">
        <f>G20/H20</f>
        <v>1</v>
      </c>
      <c r="S20" s="308">
        <f t="shared" si="2"/>
        <v>80</v>
      </c>
      <c r="T20" s="306">
        <f t="shared" si="3"/>
        <v>214.25</v>
      </c>
    </row>
    <row r="21" spans="1:20" ht="13.5" thickBot="1" x14ac:dyDescent="0.25">
      <c r="A21" s="302" t="s">
        <v>343</v>
      </c>
      <c r="B21" s="206" t="s">
        <v>344</v>
      </c>
      <c r="C21" s="207">
        <v>-2</v>
      </c>
      <c r="D21" s="207"/>
      <c r="E21" s="206" t="s">
        <v>264</v>
      </c>
      <c r="F21" s="207" t="s">
        <v>308</v>
      </c>
      <c r="G21" s="207">
        <v>1</v>
      </c>
      <c r="H21" s="206"/>
      <c r="I21" s="206"/>
      <c r="J21" s="206"/>
      <c r="K21" s="209"/>
      <c r="L21" s="209"/>
      <c r="M21" s="233" t="s">
        <v>1365</v>
      </c>
      <c r="N21" s="233"/>
      <c r="O21" s="209">
        <v>0.35</v>
      </c>
      <c r="P21" s="13">
        <v>18</v>
      </c>
      <c r="Q21" s="18">
        <f t="shared" si="0"/>
        <v>6.3</v>
      </c>
      <c r="R21" s="209"/>
      <c r="S21" s="308">
        <f t="shared" si="2"/>
        <v>0</v>
      </c>
      <c r="T21" s="306">
        <f t="shared" si="3"/>
        <v>6.3</v>
      </c>
    </row>
    <row r="22" spans="1:20" ht="13.5" thickBot="1" x14ac:dyDescent="0.25">
      <c r="A22" s="302" t="s">
        <v>345</v>
      </c>
      <c r="B22" s="36" t="s">
        <v>572</v>
      </c>
      <c r="C22" s="1">
        <v>-2</v>
      </c>
      <c r="D22" s="44"/>
      <c r="E22" s="36" t="s">
        <v>264</v>
      </c>
      <c r="F22" s="1" t="s">
        <v>308</v>
      </c>
      <c r="G22" s="1">
        <v>1</v>
      </c>
      <c r="H22" s="36">
        <v>0.62</v>
      </c>
      <c r="I22" s="378"/>
      <c r="J22" s="378"/>
      <c r="K22" s="201">
        <v>10</v>
      </c>
      <c r="L22" s="18"/>
      <c r="M22" s="102" t="s">
        <v>234</v>
      </c>
      <c r="N22" s="102"/>
      <c r="O22" s="18">
        <v>1.72</v>
      </c>
      <c r="P22" s="54">
        <f>'PRECIOS INSUMOS 2015'!C$5</f>
        <v>2</v>
      </c>
      <c r="Q22" s="18">
        <f>P22*O22</f>
        <v>3.44</v>
      </c>
      <c r="R22" s="209">
        <f t="shared" ref="R22:R27" si="4">G22/H22</f>
        <v>1.6129032258064517</v>
      </c>
      <c r="S22" s="308">
        <f t="shared" si="2"/>
        <v>129.03225806451613</v>
      </c>
      <c r="T22" s="306">
        <f t="shared" si="3"/>
        <v>132.47225806451613</v>
      </c>
    </row>
    <row r="23" spans="1:20" x14ac:dyDescent="0.2">
      <c r="A23" s="302" t="s">
        <v>347</v>
      </c>
      <c r="B23" s="212" t="s">
        <v>346</v>
      </c>
      <c r="C23" s="379">
        <v>-1</v>
      </c>
      <c r="D23" s="304" t="s">
        <v>257</v>
      </c>
      <c r="E23" s="212" t="s">
        <v>305</v>
      </c>
      <c r="F23" s="379" t="s">
        <v>310</v>
      </c>
      <c r="G23" s="207">
        <v>70</v>
      </c>
      <c r="H23" s="212">
        <v>600</v>
      </c>
      <c r="I23" s="380"/>
      <c r="J23" s="380"/>
      <c r="K23" s="201">
        <v>10</v>
      </c>
      <c r="L23" s="209"/>
      <c r="M23" s="233" t="s">
        <v>234</v>
      </c>
      <c r="N23" s="233"/>
      <c r="O23" s="209">
        <v>2.77</v>
      </c>
      <c r="P23" s="54">
        <f>'PRECIOS INSUMOS 2015'!C$5</f>
        <v>2</v>
      </c>
      <c r="Q23" s="18">
        <f t="shared" ref="Q23:Q54" si="5">P23*O23</f>
        <v>5.54</v>
      </c>
      <c r="R23" s="209">
        <f t="shared" si="4"/>
        <v>0.11666666666666667</v>
      </c>
      <c r="S23" s="308">
        <f t="shared" si="2"/>
        <v>9.3333333333333339</v>
      </c>
      <c r="T23" s="306">
        <f t="shared" si="3"/>
        <v>14.873333333333335</v>
      </c>
    </row>
    <row r="24" spans="1:20" ht="13.5" thickBot="1" x14ac:dyDescent="0.25">
      <c r="A24" s="302" t="s">
        <v>350</v>
      </c>
      <c r="B24" s="206" t="s">
        <v>342</v>
      </c>
      <c r="C24" s="207">
        <v>-1</v>
      </c>
      <c r="D24" s="44" t="s">
        <v>266</v>
      </c>
      <c r="E24" s="206" t="s">
        <v>266</v>
      </c>
      <c r="F24" s="207" t="s">
        <v>310</v>
      </c>
      <c r="G24" s="207">
        <v>70</v>
      </c>
      <c r="H24" s="206">
        <v>90</v>
      </c>
      <c r="I24" s="372"/>
      <c r="J24" s="372"/>
      <c r="K24" s="306"/>
      <c r="L24" s="209">
        <v>10</v>
      </c>
      <c r="M24" s="233"/>
      <c r="N24" s="233"/>
      <c r="O24" s="393"/>
      <c r="P24" s="234"/>
      <c r="Q24" s="209">
        <f t="shared" si="5"/>
        <v>0</v>
      </c>
      <c r="R24" s="209">
        <f t="shared" si="4"/>
        <v>0.77777777777777779</v>
      </c>
      <c r="S24" s="308">
        <f t="shared" si="2"/>
        <v>62.222222222222221</v>
      </c>
      <c r="T24" s="306">
        <f t="shared" si="3"/>
        <v>62.222222222222221</v>
      </c>
    </row>
    <row r="25" spans="1:20" x14ac:dyDescent="0.2">
      <c r="A25" s="302" t="s">
        <v>352</v>
      </c>
      <c r="B25" s="206" t="s">
        <v>348</v>
      </c>
      <c r="C25" s="207">
        <v>0</v>
      </c>
      <c r="D25" s="304" t="s">
        <v>257</v>
      </c>
      <c r="E25" s="211" t="s">
        <v>349</v>
      </c>
      <c r="F25" s="207" t="s">
        <v>308</v>
      </c>
      <c r="G25" s="207">
        <v>1</v>
      </c>
      <c r="H25" s="206">
        <v>2.8</v>
      </c>
      <c r="I25" s="206"/>
      <c r="J25" s="206"/>
      <c r="K25" s="201">
        <v>10</v>
      </c>
      <c r="L25" s="209"/>
      <c r="M25" s="233" t="s">
        <v>234</v>
      </c>
      <c r="N25" s="233"/>
      <c r="O25" s="209">
        <v>32.4</v>
      </c>
      <c r="P25" s="54">
        <f>'PRECIOS INSUMOS 2015'!C$5</f>
        <v>2</v>
      </c>
      <c r="Q25" s="18">
        <f t="shared" si="5"/>
        <v>64.8</v>
      </c>
      <c r="R25" s="209">
        <f t="shared" si="4"/>
        <v>0.35714285714285715</v>
      </c>
      <c r="S25" s="308">
        <f t="shared" si="2"/>
        <v>28.571428571428573</v>
      </c>
      <c r="T25" s="306">
        <f t="shared" si="3"/>
        <v>93.371428571428567</v>
      </c>
    </row>
    <row r="26" spans="1:20" x14ac:dyDescent="0.2">
      <c r="A26" s="302" t="s">
        <v>354</v>
      </c>
      <c r="B26" s="211" t="s">
        <v>351</v>
      </c>
      <c r="C26" s="207">
        <v>0</v>
      </c>
      <c r="D26" s="44" t="s">
        <v>266</v>
      </c>
      <c r="E26" s="206" t="s">
        <v>266</v>
      </c>
      <c r="F26" s="207" t="s">
        <v>308</v>
      </c>
      <c r="G26" s="207">
        <v>1</v>
      </c>
      <c r="H26" s="206">
        <v>0.3</v>
      </c>
      <c r="I26" s="206"/>
      <c r="J26" s="206"/>
      <c r="K26" s="209"/>
      <c r="L26" s="209">
        <v>10</v>
      </c>
      <c r="M26" s="233"/>
      <c r="N26" s="233"/>
      <c r="O26" s="209"/>
      <c r="P26" s="13"/>
      <c r="Q26" s="18">
        <f t="shared" si="5"/>
        <v>0</v>
      </c>
      <c r="R26" s="209">
        <f t="shared" si="4"/>
        <v>3.3333333333333335</v>
      </c>
      <c r="S26" s="308">
        <f t="shared" si="2"/>
        <v>266.66666666666669</v>
      </c>
      <c r="T26" s="306">
        <f t="shared" si="3"/>
        <v>266.66666666666669</v>
      </c>
    </row>
    <row r="27" spans="1:20" x14ac:dyDescent="0.2">
      <c r="A27" s="302" t="s">
        <v>355</v>
      </c>
      <c r="B27" s="374" t="s">
        <v>265</v>
      </c>
      <c r="C27" s="375">
        <v>1</v>
      </c>
      <c r="D27" s="1" t="s">
        <v>266</v>
      </c>
      <c r="E27" s="374" t="s">
        <v>335</v>
      </c>
      <c r="F27" s="207" t="s">
        <v>308</v>
      </c>
      <c r="G27" s="207">
        <v>1</v>
      </c>
      <c r="H27" s="374">
        <v>0.55000000000000004</v>
      </c>
      <c r="I27" s="374"/>
      <c r="J27" s="374"/>
      <c r="K27" s="209"/>
      <c r="L27" s="209">
        <v>10</v>
      </c>
      <c r="M27" s="233" t="s">
        <v>574</v>
      </c>
      <c r="N27" s="233"/>
      <c r="O27" s="209">
        <v>5</v>
      </c>
      <c r="P27" s="13">
        <f>'PRECIOS INSUMOS 2015'!H$30</f>
        <v>8.9499999999999993</v>
      </c>
      <c r="Q27" s="18">
        <f t="shared" si="5"/>
        <v>44.75</v>
      </c>
      <c r="R27" s="209">
        <f t="shared" si="4"/>
        <v>1.8181818181818181</v>
      </c>
      <c r="S27" s="308">
        <f t="shared" si="2"/>
        <v>145.45454545454544</v>
      </c>
      <c r="T27" s="306">
        <f t="shared" si="3"/>
        <v>190.20454545454544</v>
      </c>
    </row>
    <row r="28" spans="1:20" ht="13.5" thickBot="1" x14ac:dyDescent="0.25">
      <c r="A28" s="302" t="s">
        <v>356</v>
      </c>
      <c r="B28" s="211" t="s">
        <v>353</v>
      </c>
      <c r="C28" s="207">
        <v>1</v>
      </c>
      <c r="D28" s="304"/>
      <c r="E28" s="206" t="s">
        <v>264</v>
      </c>
      <c r="F28" s="207" t="s">
        <v>308</v>
      </c>
      <c r="G28" s="207">
        <v>1</v>
      </c>
      <c r="H28" s="206"/>
      <c r="I28" s="206"/>
      <c r="J28" s="206"/>
      <c r="K28" s="209"/>
      <c r="L28" s="209"/>
      <c r="M28" s="233" t="s">
        <v>1365</v>
      </c>
      <c r="N28" s="233"/>
      <c r="O28" s="209">
        <v>0.35</v>
      </c>
      <c r="P28" s="13">
        <v>18</v>
      </c>
      <c r="Q28" s="18">
        <f t="shared" si="5"/>
        <v>6.3</v>
      </c>
      <c r="R28" s="209"/>
      <c r="S28" s="308">
        <f t="shared" si="2"/>
        <v>0</v>
      </c>
      <c r="T28" s="306">
        <f t="shared" si="3"/>
        <v>6.3</v>
      </c>
    </row>
    <row r="29" spans="1:20" ht="13.5" thickBot="1" x14ac:dyDescent="0.25">
      <c r="A29" s="302" t="s">
        <v>357</v>
      </c>
      <c r="B29" s="87" t="s">
        <v>573</v>
      </c>
      <c r="C29" s="1">
        <v>1</v>
      </c>
      <c r="D29" s="44"/>
      <c r="E29" s="36" t="s">
        <v>264</v>
      </c>
      <c r="F29" s="1" t="s">
        <v>308</v>
      </c>
      <c r="G29" s="1">
        <v>1</v>
      </c>
      <c r="H29" s="36">
        <v>0.62</v>
      </c>
      <c r="I29" s="36"/>
      <c r="J29" s="36"/>
      <c r="K29" s="201">
        <v>10</v>
      </c>
      <c r="L29" s="18"/>
      <c r="M29" s="102" t="s">
        <v>234</v>
      </c>
      <c r="N29" s="102"/>
      <c r="O29" s="18">
        <v>1.72</v>
      </c>
      <c r="P29" s="54">
        <f>'PRECIOS INSUMOS 2015'!C$5</f>
        <v>2</v>
      </c>
      <c r="Q29" s="18">
        <f t="shared" si="5"/>
        <v>3.44</v>
      </c>
      <c r="R29" s="209">
        <f>G29/H29</f>
        <v>1.6129032258064517</v>
      </c>
      <c r="S29" s="308">
        <f t="shared" si="2"/>
        <v>129.03225806451613</v>
      </c>
      <c r="T29" s="306">
        <f t="shared" si="3"/>
        <v>132.47225806451613</v>
      </c>
    </row>
    <row r="30" spans="1:20" x14ac:dyDescent="0.2">
      <c r="A30" s="302" t="s">
        <v>358</v>
      </c>
      <c r="B30" s="206" t="s">
        <v>274</v>
      </c>
      <c r="C30" s="207">
        <v>3</v>
      </c>
      <c r="D30" s="304" t="s">
        <v>257</v>
      </c>
      <c r="E30" s="206" t="s">
        <v>303</v>
      </c>
      <c r="F30" s="207" t="s">
        <v>308</v>
      </c>
      <c r="G30" s="207">
        <v>1</v>
      </c>
      <c r="H30" s="206">
        <v>6.5</v>
      </c>
      <c r="I30" s="206"/>
      <c r="J30" s="206"/>
      <c r="K30" s="201">
        <v>10</v>
      </c>
      <c r="L30" s="209"/>
      <c r="M30" s="233" t="s">
        <v>234</v>
      </c>
      <c r="N30" s="233"/>
      <c r="O30" s="209">
        <f>46.03/13.42</f>
        <v>3.4299552906110282</v>
      </c>
      <c r="P30" s="54">
        <f>'PRECIOS INSUMOS 2015'!C$5</f>
        <v>2</v>
      </c>
      <c r="Q30" s="18">
        <f t="shared" si="5"/>
        <v>6.8599105812220564</v>
      </c>
      <c r="R30" s="209">
        <f>G30/H30</f>
        <v>0.15384615384615385</v>
      </c>
      <c r="S30" s="308">
        <f t="shared" si="2"/>
        <v>12.307692307692308</v>
      </c>
      <c r="T30" s="306">
        <f t="shared" si="3"/>
        <v>19.167602888914367</v>
      </c>
    </row>
    <row r="31" spans="1:20" x14ac:dyDescent="0.2">
      <c r="A31" s="302" t="s">
        <v>359</v>
      </c>
      <c r="B31" s="206" t="s">
        <v>274</v>
      </c>
      <c r="C31" s="207">
        <v>3</v>
      </c>
      <c r="D31" s="304"/>
      <c r="E31" s="206"/>
      <c r="F31" s="207" t="s">
        <v>292</v>
      </c>
      <c r="G31" s="207"/>
      <c r="H31" s="206"/>
      <c r="I31" s="206"/>
      <c r="J31" s="206"/>
      <c r="K31" s="209"/>
      <c r="L31" s="209"/>
      <c r="M31" s="233" t="s">
        <v>567</v>
      </c>
      <c r="N31" s="233"/>
      <c r="O31" s="209">
        <v>3</v>
      </c>
      <c r="P31" s="13">
        <f>'PRECIOS INSUMOS 2015'!H$17</f>
        <v>43</v>
      </c>
      <c r="Q31" s="18">
        <f t="shared" si="5"/>
        <v>129</v>
      </c>
      <c r="R31" s="209"/>
      <c r="S31" s="308">
        <f t="shared" si="2"/>
        <v>0</v>
      </c>
      <c r="T31" s="306">
        <f t="shared" si="3"/>
        <v>129</v>
      </c>
    </row>
    <row r="32" spans="1:20" ht="13.5" thickBot="1" x14ac:dyDescent="0.25">
      <c r="A32" s="302" t="s">
        <v>361</v>
      </c>
      <c r="B32" s="206" t="s">
        <v>263</v>
      </c>
      <c r="C32" s="207">
        <v>8</v>
      </c>
      <c r="D32" s="304"/>
      <c r="E32" s="206" t="s">
        <v>264</v>
      </c>
      <c r="F32" s="207" t="s">
        <v>308</v>
      </c>
      <c r="G32" s="207">
        <v>1</v>
      </c>
      <c r="H32" s="206"/>
      <c r="I32" s="206"/>
      <c r="J32" s="206"/>
      <c r="K32" s="209"/>
      <c r="L32" s="241"/>
      <c r="M32" s="233" t="s">
        <v>1365</v>
      </c>
      <c r="N32" s="233"/>
      <c r="O32" s="209">
        <v>0.35</v>
      </c>
      <c r="P32" s="13">
        <v>18</v>
      </c>
      <c r="Q32" s="18">
        <f t="shared" si="5"/>
        <v>6.3</v>
      </c>
      <c r="R32" s="209"/>
      <c r="S32" s="308">
        <f t="shared" si="2"/>
        <v>0</v>
      </c>
      <c r="T32" s="306">
        <f t="shared" si="3"/>
        <v>6.3</v>
      </c>
    </row>
    <row r="33" spans="1:20" x14ac:dyDescent="0.2">
      <c r="A33" s="302" t="s">
        <v>362</v>
      </c>
      <c r="B33" s="36" t="s">
        <v>571</v>
      </c>
      <c r="C33" s="1">
        <v>8</v>
      </c>
      <c r="D33" s="44"/>
      <c r="E33" s="36" t="s">
        <v>264</v>
      </c>
      <c r="F33" s="1" t="s">
        <v>308</v>
      </c>
      <c r="G33" s="1">
        <v>1</v>
      </c>
      <c r="H33" s="36">
        <v>0.62</v>
      </c>
      <c r="I33" s="36"/>
      <c r="J33" s="36"/>
      <c r="K33" s="201">
        <v>10</v>
      </c>
      <c r="L33" s="251"/>
      <c r="M33" s="102" t="s">
        <v>234</v>
      </c>
      <c r="N33" s="102"/>
      <c r="O33" s="18">
        <v>1.72</v>
      </c>
      <c r="P33" s="54">
        <f>'PRECIOS INSUMOS 2015'!C$5</f>
        <v>2</v>
      </c>
      <c r="Q33" s="18">
        <f t="shared" si="5"/>
        <v>3.44</v>
      </c>
      <c r="R33" s="18">
        <v>1.6129032258064517</v>
      </c>
      <c r="S33" s="308">
        <f t="shared" si="2"/>
        <v>129.03225806451613</v>
      </c>
      <c r="T33" s="306">
        <f t="shared" si="3"/>
        <v>132.47225806451613</v>
      </c>
    </row>
    <row r="34" spans="1:20" ht="13.5" thickBot="1" x14ac:dyDescent="0.25">
      <c r="A34" s="302" t="s">
        <v>364</v>
      </c>
      <c r="B34" s="206" t="s">
        <v>263</v>
      </c>
      <c r="C34" s="207">
        <v>13</v>
      </c>
      <c r="D34" s="304"/>
      <c r="E34" s="206" t="s">
        <v>264</v>
      </c>
      <c r="F34" s="207" t="s">
        <v>308</v>
      </c>
      <c r="G34" s="207">
        <v>1</v>
      </c>
      <c r="H34" s="206"/>
      <c r="I34" s="206"/>
      <c r="J34" s="206"/>
      <c r="K34" s="209"/>
      <c r="L34" s="241"/>
      <c r="M34" s="233" t="s">
        <v>1365</v>
      </c>
      <c r="N34" s="233"/>
      <c r="O34" s="209">
        <v>0.35</v>
      </c>
      <c r="P34" s="13">
        <v>18</v>
      </c>
      <c r="Q34" s="18">
        <f t="shared" si="5"/>
        <v>6.3</v>
      </c>
      <c r="R34" s="209"/>
      <c r="S34" s="308">
        <f t="shared" si="2"/>
        <v>0</v>
      </c>
      <c r="T34" s="306">
        <f t="shared" si="3"/>
        <v>6.3</v>
      </c>
    </row>
    <row r="35" spans="1:20" x14ac:dyDescent="0.2">
      <c r="A35" s="302" t="s">
        <v>366</v>
      </c>
      <c r="B35" s="36" t="s">
        <v>571</v>
      </c>
      <c r="C35" s="1">
        <v>13</v>
      </c>
      <c r="D35" s="44"/>
      <c r="E35" s="36" t="s">
        <v>264</v>
      </c>
      <c r="F35" s="1" t="s">
        <v>308</v>
      </c>
      <c r="G35" s="1">
        <v>1</v>
      </c>
      <c r="H35" s="36">
        <v>0.62</v>
      </c>
      <c r="I35" s="36"/>
      <c r="J35" s="36"/>
      <c r="K35" s="201">
        <v>10</v>
      </c>
      <c r="L35" s="251"/>
      <c r="M35" s="102" t="s">
        <v>234</v>
      </c>
      <c r="N35" s="102"/>
      <c r="O35" s="18">
        <v>1.72</v>
      </c>
      <c r="P35" s="54">
        <f>'PRECIOS INSUMOS 2015'!C$5</f>
        <v>2</v>
      </c>
      <c r="Q35" s="18">
        <f t="shared" si="5"/>
        <v>3.44</v>
      </c>
      <c r="R35" s="18">
        <v>1.6129032258064517</v>
      </c>
      <c r="S35" s="308">
        <f t="shared" si="2"/>
        <v>129.03225806451613</v>
      </c>
      <c r="T35" s="306">
        <f t="shared" si="3"/>
        <v>132.47225806451613</v>
      </c>
    </row>
    <row r="36" spans="1:20" ht="13.5" thickBot="1" x14ac:dyDescent="0.25">
      <c r="A36" s="302" t="s">
        <v>368</v>
      </c>
      <c r="B36" s="206" t="s">
        <v>263</v>
      </c>
      <c r="C36" s="207">
        <v>18</v>
      </c>
      <c r="D36" s="207"/>
      <c r="E36" s="206" t="s">
        <v>264</v>
      </c>
      <c r="F36" s="207" t="s">
        <v>308</v>
      </c>
      <c r="G36" s="207">
        <v>1</v>
      </c>
      <c r="H36" s="206"/>
      <c r="I36" s="206"/>
      <c r="J36" s="206"/>
      <c r="K36" s="209"/>
      <c r="L36" s="209"/>
      <c r="M36" s="233" t="s">
        <v>1365</v>
      </c>
      <c r="N36" s="233"/>
      <c r="O36" s="209">
        <v>0.35</v>
      </c>
      <c r="P36" s="13">
        <v>18</v>
      </c>
      <c r="Q36" s="18">
        <f t="shared" si="5"/>
        <v>6.3</v>
      </c>
      <c r="R36" s="209"/>
      <c r="S36" s="308">
        <f t="shared" si="2"/>
        <v>0</v>
      </c>
      <c r="T36" s="306">
        <f t="shared" si="3"/>
        <v>6.3</v>
      </c>
    </row>
    <row r="37" spans="1:20" x14ac:dyDescent="0.2">
      <c r="A37" s="302" t="s">
        <v>369</v>
      </c>
      <c r="B37" s="36" t="s">
        <v>571</v>
      </c>
      <c r="C37" s="1">
        <v>18</v>
      </c>
      <c r="D37" s="44"/>
      <c r="E37" s="36" t="s">
        <v>264</v>
      </c>
      <c r="F37" s="1" t="s">
        <v>308</v>
      </c>
      <c r="G37" s="1">
        <v>1</v>
      </c>
      <c r="H37" s="36">
        <v>0.62</v>
      </c>
      <c r="I37" s="36"/>
      <c r="J37" s="36"/>
      <c r="K37" s="201">
        <v>10</v>
      </c>
      <c r="L37" s="18"/>
      <c r="M37" s="102" t="s">
        <v>234</v>
      </c>
      <c r="N37" s="102"/>
      <c r="O37" s="18">
        <v>1.72</v>
      </c>
      <c r="P37" s="54">
        <f>'PRECIOS INSUMOS 2015'!C$5</f>
        <v>2</v>
      </c>
      <c r="Q37" s="18">
        <f t="shared" si="5"/>
        <v>3.44</v>
      </c>
      <c r="R37" s="18">
        <v>1.6129032258064517</v>
      </c>
      <c r="S37" s="308">
        <f t="shared" si="2"/>
        <v>129.03225806451613</v>
      </c>
      <c r="T37" s="306">
        <f t="shared" si="3"/>
        <v>132.47225806451613</v>
      </c>
    </row>
    <row r="38" spans="1:20" ht="13.5" thickBot="1" x14ac:dyDescent="0.25">
      <c r="A38" s="302" t="s">
        <v>370</v>
      </c>
      <c r="B38" s="206" t="s">
        <v>263</v>
      </c>
      <c r="C38" s="207">
        <v>24</v>
      </c>
      <c r="D38" s="207"/>
      <c r="E38" s="206" t="s">
        <v>264</v>
      </c>
      <c r="F38" s="207" t="s">
        <v>308</v>
      </c>
      <c r="G38" s="207">
        <v>1</v>
      </c>
      <c r="H38" s="206"/>
      <c r="I38" s="206"/>
      <c r="J38" s="206"/>
      <c r="K38" s="209"/>
      <c r="L38" s="209"/>
      <c r="M38" s="233" t="s">
        <v>1365</v>
      </c>
      <c r="N38" s="233"/>
      <c r="O38" s="209">
        <v>0.35</v>
      </c>
      <c r="P38" s="13">
        <v>18</v>
      </c>
      <c r="Q38" s="18">
        <f t="shared" si="5"/>
        <v>6.3</v>
      </c>
      <c r="R38" s="209"/>
      <c r="S38" s="308">
        <f t="shared" si="2"/>
        <v>0</v>
      </c>
      <c r="T38" s="306">
        <f t="shared" si="3"/>
        <v>6.3</v>
      </c>
    </row>
    <row r="39" spans="1:20" ht="13.5" thickBot="1" x14ac:dyDescent="0.25">
      <c r="A39" s="302" t="s">
        <v>371</v>
      </c>
      <c r="B39" s="36" t="s">
        <v>571</v>
      </c>
      <c r="C39" s="1">
        <v>24</v>
      </c>
      <c r="D39" s="44"/>
      <c r="E39" s="36" t="s">
        <v>264</v>
      </c>
      <c r="F39" s="1" t="s">
        <v>308</v>
      </c>
      <c r="G39" s="1">
        <v>1</v>
      </c>
      <c r="H39" s="36">
        <v>0.62</v>
      </c>
      <c r="I39" s="36"/>
      <c r="J39" s="36"/>
      <c r="K39" s="201">
        <v>10</v>
      </c>
      <c r="L39" s="18"/>
      <c r="M39" s="102" t="s">
        <v>234</v>
      </c>
      <c r="N39" s="102"/>
      <c r="O39" s="18">
        <v>1.72</v>
      </c>
      <c r="P39" s="54">
        <f>'PRECIOS INSUMOS 2015'!C$5</f>
        <v>2</v>
      </c>
      <c r="Q39" s="18">
        <f t="shared" si="5"/>
        <v>3.44</v>
      </c>
      <c r="R39" s="18">
        <v>1.6129032258064517</v>
      </c>
      <c r="S39" s="308">
        <f t="shared" si="2"/>
        <v>129.03225806451613</v>
      </c>
      <c r="T39" s="306">
        <f t="shared" si="3"/>
        <v>132.47225806451613</v>
      </c>
    </row>
    <row r="40" spans="1:20" x14ac:dyDescent="0.2">
      <c r="A40" s="302" t="s">
        <v>372</v>
      </c>
      <c r="B40" s="206" t="s">
        <v>269</v>
      </c>
      <c r="C40" s="207">
        <v>27</v>
      </c>
      <c r="D40" s="304" t="s">
        <v>257</v>
      </c>
      <c r="E40" s="206" t="s">
        <v>360</v>
      </c>
      <c r="F40" s="207" t="s">
        <v>308</v>
      </c>
      <c r="G40" s="207">
        <v>1</v>
      </c>
      <c r="H40" s="206">
        <v>2.8</v>
      </c>
      <c r="I40" s="206"/>
      <c r="J40" s="206"/>
      <c r="K40" s="201">
        <v>10</v>
      </c>
      <c r="L40" s="209"/>
      <c r="M40" s="233" t="s">
        <v>234</v>
      </c>
      <c r="N40" s="233"/>
      <c r="O40" s="209">
        <f>97.97/13.42</f>
        <v>7.3002980625931446</v>
      </c>
      <c r="P40" s="54">
        <f>'PRECIOS INSUMOS 2015'!C$5</f>
        <v>2</v>
      </c>
      <c r="Q40" s="18">
        <f t="shared" si="5"/>
        <v>14.600596125186289</v>
      </c>
      <c r="R40" s="209">
        <f>G40/H40</f>
        <v>0.35714285714285715</v>
      </c>
      <c r="S40" s="308">
        <f t="shared" si="2"/>
        <v>28.571428571428573</v>
      </c>
      <c r="T40" s="306">
        <f t="shared" si="3"/>
        <v>43.172024696614862</v>
      </c>
    </row>
    <row r="41" spans="1:20" ht="13.5" thickBot="1" x14ac:dyDescent="0.25">
      <c r="A41" s="302" t="s">
        <v>373</v>
      </c>
      <c r="B41" s="206" t="s">
        <v>263</v>
      </c>
      <c r="C41" s="207">
        <v>29</v>
      </c>
      <c r="D41" s="304"/>
      <c r="E41" s="206" t="s">
        <v>264</v>
      </c>
      <c r="F41" s="207" t="s">
        <v>308</v>
      </c>
      <c r="G41" s="207">
        <v>1</v>
      </c>
      <c r="H41" s="206"/>
      <c r="I41" s="206"/>
      <c r="J41" s="206"/>
      <c r="K41" s="209"/>
      <c r="L41" s="241"/>
      <c r="M41" s="233" t="s">
        <v>1365</v>
      </c>
      <c r="N41" s="233"/>
      <c r="O41" s="209">
        <v>0.35</v>
      </c>
      <c r="P41" s="13">
        <v>18</v>
      </c>
      <c r="Q41" s="18">
        <f t="shared" si="5"/>
        <v>6.3</v>
      </c>
      <c r="R41" s="209"/>
      <c r="S41" s="308">
        <f t="shared" si="2"/>
        <v>0</v>
      </c>
      <c r="T41" s="306">
        <f t="shared" si="3"/>
        <v>6.3</v>
      </c>
    </row>
    <row r="42" spans="1:20" x14ac:dyDescent="0.2">
      <c r="A42" s="302" t="s">
        <v>374</v>
      </c>
      <c r="B42" s="36" t="s">
        <v>571</v>
      </c>
      <c r="C42" s="1">
        <v>29</v>
      </c>
      <c r="D42" s="44"/>
      <c r="E42" s="36" t="s">
        <v>264</v>
      </c>
      <c r="F42" s="1" t="s">
        <v>308</v>
      </c>
      <c r="G42" s="1">
        <v>1</v>
      </c>
      <c r="H42" s="36">
        <v>0.62</v>
      </c>
      <c r="I42" s="36"/>
      <c r="J42" s="36"/>
      <c r="K42" s="201">
        <v>10</v>
      </c>
      <c r="L42" s="251"/>
      <c r="M42" s="102" t="s">
        <v>234</v>
      </c>
      <c r="N42" s="102"/>
      <c r="O42" s="18">
        <v>1.72</v>
      </c>
      <c r="P42" s="54">
        <f>'PRECIOS INSUMOS 2015'!C$5</f>
        <v>2</v>
      </c>
      <c r="Q42" s="18">
        <f t="shared" si="5"/>
        <v>3.44</v>
      </c>
      <c r="R42" s="18">
        <v>1.6129032258064517</v>
      </c>
      <c r="S42" s="308">
        <f t="shared" si="2"/>
        <v>129.03225806451613</v>
      </c>
      <c r="T42" s="306">
        <f t="shared" si="3"/>
        <v>132.47225806451613</v>
      </c>
    </row>
    <row r="43" spans="1:20" x14ac:dyDescent="0.2">
      <c r="A43" s="302" t="s">
        <v>376</v>
      </c>
      <c r="B43" s="206" t="s">
        <v>363</v>
      </c>
      <c r="C43" s="207">
        <v>32</v>
      </c>
      <c r="D43" s="1" t="s">
        <v>266</v>
      </c>
      <c r="E43" s="206" t="s">
        <v>266</v>
      </c>
      <c r="F43" s="207" t="s">
        <v>308</v>
      </c>
      <c r="G43" s="207">
        <v>1</v>
      </c>
      <c r="H43" s="206">
        <v>8.3000000000000004E-2</v>
      </c>
      <c r="I43" s="206"/>
      <c r="J43" s="206"/>
      <c r="K43" s="209"/>
      <c r="L43" s="209">
        <v>10</v>
      </c>
      <c r="M43" s="233"/>
      <c r="N43" s="233"/>
      <c r="O43" s="209"/>
      <c r="P43" s="13"/>
      <c r="Q43" s="18">
        <f t="shared" si="5"/>
        <v>0</v>
      </c>
      <c r="R43" s="209">
        <f>G43/H43</f>
        <v>12.048192771084336</v>
      </c>
      <c r="S43" s="308">
        <f t="shared" si="2"/>
        <v>963.85542168674692</v>
      </c>
      <c r="T43" s="306">
        <f t="shared" si="3"/>
        <v>963.85542168674692</v>
      </c>
    </row>
    <row r="44" spans="1:20" ht="13.5" thickBot="1" x14ac:dyDescent="0.25">
      <c r="A44" s="302" t="s">
        <v>377</v>
      </c>
      <c r="B44" s="206" t="s">
        <v>365</v>
      </c>
      <c r="C44" s="207">
        <v>36</v>
      </c>
      <c r="D44" s="304"/>
      <c r="E44" s="206" t="s">
        <v>264</v>
      </c>
      <c r="F44" s="207" t="s">
        <v>308</v>
      </c>
      <c r="G44" s="207">
        <v>1</v>
      </c>
      <c r="H44" s="206"/>
      <c r="I44" s="206"/>
      <c r="J44" s="206"/>
      <c r="K44" s="209"/>
      <c r="L44" s="209"/>
      <c r="M44" s="233" t="s">
        <v>1365</v>
      </c>
      <c r="N44" s="233"/>
      <c r="O44" s="209">
        <v>0.35</v>
      </c>
      <c r="P44" s="13">
        <v>18</v>
      </c>
      <c r="Q44" s="18">
        <f t="shared" si="5"/>
        <v>6.3</v>
      </c>
      <c r="R44" s="209"/>
      <c r="S44" s="308">
        <f t="shared" si="2"/>
        <v>0</v>
      </c>
      <c r="T44" s="306">
        <f t="shared" ref="T44:T83" si="6">S44+Q44</f>
        <v>6.3</v>
      </c>
    </row>
    <row r="45" spans="1:20" x14ac:dyDescent="0.2">
      <c r="A45" s="302" t="s">
        <v>378</v>
      </c>
      <c r="B45" s="36" t="s">
        <v>571</v>
      </c>
      <c r="C45" s="1">
        <v>36</v>
      </c>
      <c r="D45" s="44"/>
      <c r="E45" s="36" t="s">
        <v>264</v>
      </c>
      <c r="F45" s="1" t="s">
        <v>308</v>
      </c>
      <c r="G45" s="1">
        <v>1</v>
      </c>
      <c r="H45" s="36">
        <v>0.62</v>
      </c>
      <c r="I45" s="36"/>
      <c r="J45" s="36"/>
      <c r="K45" s="201">
        <v>10</v>
      </c>
      <c r="L45" s="18"/>
      <c r="M45" s="102" t="s">
        <v>234</v>
      </c>
      <c r="N45" s="102"/>
      <c r="O45" s="18">
        <v>1.72</v>
      </c>
      <c r="P45" s="54">
        <f>'PRECIOS INSUMOS 2015'!C$5</f>
        <v>2</v>
      </c>
      <c r="Q45" s="18">
        <f t="shared" si="5"/>
        <v>3.44</v>
      </c>
      <c r="R45" s="18">
        <v>1.6129032258064517</v>
      </c>
      <c r="S45" s="308">
        <f t="shared" si="2"/>
        <v>129.03225806451613</v>
      </c>
      <c r="T45" s="306">
        <f t="shared" si="6"/>
        <v>132.47225806451613</v>
      </c>
    </row>
    <row r="46" spans="1:20" ht="13.5" thickBot="1" x14ac:dyDescent="0.25">
      <c r="A46" s="302" t="s">
        <v>379</v>
      </c>
      <c r="B46" s="206" t="s">
        <v>274</v>
      </c>
      <c r="C46" s="207">
        <v>37</v>
      </c>
      <c r="D46" s="207" t="s">
        <v>266</v>
      </c>
      <c r="E46" s="206" t="s">
        <v>267</v>
      </c>
      <c r="F46" s="207" t="s">
        <v>291</v>
      </c>
      <c r="G46" s="207">
        <v>1</v>
      </c>
      <c r="H46" s="206">
        <v>0.5</v>
      </c>
      <c r="I46" s="206"/>
      <c r="J46" s="206"/>
      <c r="K46" s="209"/>
      <c r="L46" s="209">
        <v>10</v>
      </c>
      <c r="M46" s="233" t="s">
        <v>285</v>
      </c>
      <c r="N46" s="233"/>
      <c r="O46" s="209">
        <v>2</v>
      </c>
      <c r="P46" s="13">
        <f>'PRECIOS INSUMOS 2015'!C$102</f>
        <v>39</v>
      </c>
      <c r="Q46" s="18">
        <f t="shared" si="5"/>
        <v>78</v>
      </c>
      <c r="R46" s="209">
        <f>G46/H46</f>
        <v>2</v>
      </c>
      <c r="S46" s="308">
        <f t="shared" si="2"/>
        <v>160</v>
      </c>
      <c r="T46" s="306">
        <f t="shared" si="6"/>
        <v>238</v>
      </c>
    </row>
    <row r="47" spans="1:20" ht="13.5" thickBot="1" x14ac:dyDescent="0.25">
      <c r="A47" s="302" t="s">
        <v>380</v>
      </c>
      <c r="B47" s="381" t="s">
        <v>367</v>
      </c>
      <c r="C47" s="244">
        <v>38</v>
      </c>
      <c r="D47" s="244" t="s">
        <v>257</v>
      </c>
      <c r="E47" s="381" t="s">
        <v>360</v>
      </c>
      <c r="F47" s="244" t="s">
        <v>308</v>
      </c>
      <c r="G47" s="244">
        <v>1</v>
      </c>
      <c r="H47" s="381">
        <v>2.8</v>
      </c>
      <c r="I47" s="381"/>
      <c r="J47" s="381"/>
      <c r="K47" s="201">
        <v>10</v>
      </c>
      <c r="L47" s="246"/>
      <c r="M47" s="394" t="s">
        <v>234</v>
      </c>
      <c r="N47" s="394"/>
      <c r="O47" s="247">
        <f>97.97/13.42</f>
        <v>7.3002980625931446</v>
      </c>
      <c r="P47" s="54">
        <f>'PRECIOS INSUMOS 2015'!C$5</f>
        <v>2</v>
      </c>
      <c r="Q47" s="59">
        <f t="shared" si="5"/>
        <v>14.600596125186289</v>
      </c>
      <c r="R47" s="247">
        <f>G47/H47</f>
        <v>0.35714285714285715</v>
      </c>
      <c r="S47" s="308">
        <f t="shared" si="2"/>
        <v>28.571428571428573</v>
      </c>
      <c r="T47" s="306">
        <f t="shared" si="6"/>
        <v>43.172024696614862</v>
      </c>
    </row>
    <row r="48" spans="1:20" ht="13.5" thickBot="1" x14ac:dyDescent="0.25">
      <c r="A48" s="302" t="s">
        <v>381</v>
      </c>
      <c r="B48" s="206" t="s">
        <v>365</v>
      </c>
      <c r="C48" s="207">
        <v>41</v>
      </c>
      <c r="D48" s="304"/>
      <c r="E48" s="206" t="s">
        <v>264</v>
      </c>
      <c r="F48" s="207" t="s">
        <v>308</v>
      </c>
      <c r="G48" s="207">
        <v>1</v>
      </c>
      <c r="H48" s="206"/>
      <c r="I48" s="206"/>
      <c r="J48" s="206"/>
      <c r="K48" s="209"/>
      <c r="L48" s="209"/>
      <c r="M48" s="233" t="s">
        <v>1365</v>
      </c>
      <c r="N48" s="233"/>
      <c r="O48" s="209">
        <v>0.35</v>
      </c>
      <c r="P48" s="13">
        <v>18</v>
      </c>
      <c r="Q48" s="18">
        <f t="shared" si="5"/>
        <v>6.3</v>
      </c>
      <c r="R48" s="209"/>
      <c r="S48" s="308">
        <f t="shared" si="2"/>
        <v>0</v>
      </c>
      <c r="T48" s="306">
        <f t="shared" si="6"/>
        <v>6.3</v>
      </c>
    </row>
    <row r="49" spans="1:20" ht="13.5" thickBot="1" x14ac:dyDescent="0.25">
      <c r="A49" s="302" t="s">
        <v>382</v>
      </c>
      <c r="B49" s="36" t="s">
        <v>571</v>
      </c>
      <c r="C49" s="1">
        <v>41</v>
      </c>
      <c r="D49" s="1"/>
      <c r="E49" s="36" t="s">
        <v>264</v>
      </c>
      <c r="F49" s="1" t="s">
        <v>308</v>
      </c>
      <c r="G49" s="1">
        <v>1</v>
      </c>
      <c r="H49" s="36">
        <v>0.62</v>
      </c>
      <c r="I49" s="36"/>
      <c r="J49" s="36"/>
      <c r="K49" s="201">
        <v>10</v>
      </c>
      <c r="L49" s="18"/>
      <c r="M49" s="102" t="s">
        <v>234</v>
      </c>
      <c r="N49" s="102"/>
      <c r="O49" s="18">
        <v>1.72</v>
      </c>
      <c r="P49" s="54">
        <f>'PRECIOS INSUMOS 2015'!C$5</f>
        <v>2</v>
      </c>
      <c r="Q49" s="59">
        <f t="shared" si="5"/>
        <v>3.44</v>
      </c>
      <c r="R49" s="18">
        <v>1.6129032258064517</v>
      </c>
      <c r="S49" s="308">
        <f t="shared" si="2"/>
        <v>129.03225806451613</v>
      </c>
      <c r="T49" s="306">
        <f t="shared" si="6"/>
        <v>132.47225806451613</v>
      </c>
    </row>
    <row r="50" spans="1:20" ht="13.5" thickBot="1" x14ac:dyDescent="0.25">
      <c r="A50" s="302" t="s">
        <v>383</v>
      </c>
      <c r="B50" s="206" t="s">
        <v>263</v>
      </c>
      <c r="C50" s="207">
        <v>48</v>
      </c>
      <c r="D50" s="304"/>
      <c r="E50" s="206" t="s">
        <v>264</v>
      </c>
      <c r="F50" s="207" t="s">
        <v>308</v>
      </c>
      <c r="G50" s="207">
        <v>1</v>
      </c>
      <c r="H50" s="206"/>
      <c r="I50" s="206"/>
      <c r="J50" s="206"/>
      <c r="K50" s="209"/>
      <c r="L50" s="209"/>
      <c r="M50" s="233" t="s">
        <v>1365</v>
      </c>
      <c r="N50" s="233"/>
      <c r="O50" s="209">
        <v>0.35</v>
      </c>
      <c r="P50" s="13">
        <v>18</v>
      </c>
      <c r="Q50" s="18">
        <f t="shared" si="5"/>
        <v>6.3</v>
      </c>
      <c r="R50" s="209"/>
      <c r="S50" s="308">
        <f t="shared" si="2"/>
        <v>0</v>
      </c>
      <c r="T50" s="306">
        <f t="shared" si="6"/>
        <v>6.3</v>
      </c>
    </row>
    <row r="51" spans="1:20" ht="13.5" thickBot="1" x14ac:dyDescent="0.25">
      <c r="A51" s="302" t="s">
        <v>384</v>
      </c>
      <c r="B51" s="36" t="s">
        <v>571</v>
      </c>
      <c r="C51" s="1">
        <v>48</v>
      </c>
      <c r="D51" s="44"/>
      <c r="E51" s="36" t="s">
        <v>264</v>
      </c>
      <c r="F51" s="1" t="s">
        <v>308</v>
      </c>
      <c r="G51" s="1">
        <v>1</v>
      </c>
      <c r="H51" s="36">
        <v>0.62</v>
      </c>
      <c r="I51" s="36"/>
      <c r="J51" s="36"/>
      <c r="K51" s="201">
        <v>10</v>
      </c>
      <c r="L51" s="18"/>
      <c r="M51" s="102" t="s">
        <v>234</v>
      </c>
      <c r="N51" s="102"/>
      <c r="O51" s="18">
        <v>1.72</v>
      </c>
      <c r="P51" s="54">
        <f>'PRECIOS INSUMOS 2015'!C$5</f>
        <v>2</v>
      </c>
      <c r="Q51" s="59">
        <f t="shared" si="5"/>
        <v>3.44</v>
      </c>
      <c r="R51" s="18">
        <v>1.6129032258064517</v>
      </c>
      <c r="S51" s="308">
        <f t="shared" si="2"/>
        <v>129.03225806451613</v>
      </c>
      <c r="T51" s="306">
        <f t="shared" si="6"/>
        <v>132.47225806451613</v>
      </c>
    </row>
    <row r="52" spans="1:20" x14ac:dyDescent="0.2">
      <c r="A52" s="302" t="s">
        <v>386</v>
      </c>
      <c r="B52" s="206" t="s">
        <v>269</v>
      </c>
      <c r="C52" s="207">
        <v>51</v>
      </c>
      <c r="D52" s="304" t="s">
        <v>257</v>
      </c>
      <c r="E52" s="206" t="s">
        <v>360</v>
      </c>
      <c r="F52" s="207" t="s">
        <v>308</v>
      </c>
      <c r="G52" s="207">
        <v>1</v>
      </c>
      <c r="H52" s="206">
        <v>2.8</v>
      </c>
      <c r="I52" s="206"/>
      <c r="J52" s="206"/>
      <c r="K52" s="201">
        <v>10</v>
      </c>
      <c r="L52" s="209"/>
      <c r="M52" s="233" t="s">
        <v>234</v>
      </c>
      <c r="N52" s="233"/>
      <c r="O52" s="209">
        <f>97.97/13.42</f>
        <v>7.3002980625931446</v>
      </c>
      <c r="P52" s="54">
        <f>'PRECIOS INSUMOS 2015'!C$5</f>
        <v>2</v>
      </c>
      <c r="Q52" s="18">
        <f t="shared" si="5"/>
        <v>14.600596125186289</v>
      </c>
      <c r="R52" s="209">
        <f>G52/H52</f>
        <v>0.35714285714285715</v>
      </c>
      <c r="S52" s="308">
        <f t="shared" si="2"/>
        <v>28.571428571428573</v>
      </c>
      <c r="T52" s="306">
        <f t="shared" si="6"/>
        <v>43.172024696614862</v>
      </c>
    </row>
    <row r="53" spans="1:20" x14ac:dyDescent="0.2">
      <c r="A53" s="302" t="s">
        <v>387</v>
      </c>
      <c r="B53" s="206" t="s">
        <v>363</v>
      </c>
      <c r="C53" s="207">
        <v>53</v>
      </c>
      <c r="D53" s="44" t="s">
        <v>266</v>
      </c>
      <c r="E53" s="206" t="s">
        <v>266</v>
      </c>
      <c r="F53" s="207" t="s">
        <v>308</v>
      </c>
      <c r="G53" s="207">
        <v>1</v>
      </c>
      <c r="H53" s="206">
        <v>8.3000000000000004E-2</v>
      </c>
      <c r="I53" s="206"/>
      <c r="J53" s="206"/>
      <c r="K53" s="209"/>
      <c r="L53" s="209">
        <v>10</v>
      </c>
      <c r="M53" s="233"/>
      <c r="N53" s="233"/>
      <c r="O53" s="209"/>
      <c r="P53" s="13"/>
      <c r="Q53" s="18">
        <f t="shared" si="5"/>
        <v>0</v>
      </c>
      <c r="R53" s="209"/>
      <c r="S53" s="308">
        <f t="shared" si="2"/>
        <v>0</v>
      </c>
      <c r="T53" s="306">
        <f t="shared" si="6"/>
        <v>0</v>
      </c>
    </row>
    <row r="54" spans="1:20" ht="13.5" thickBot="1" x14ac:dyDescent="0.25">
      <c r="A54" s="302" t="s">
        <v>389</v>
      </c>
      <c r="B54" s="206" t="s">
        <v>263</v>
      </c>
      <c r="C54" s="207">
        <v>55</v>
      </c>
      <c r="D54" s="304"/>
      <c r="E54" s="206" t="s">
        <v>264</v>
      </c>
      <c r="F54" s="207" t="s">
        <v>308</v>
      </c>
      <c r="G54" s="207">
        <v>1</v>
      </c>
      <c r="H54" s="206"/>
      <c r="I54" s="206"/>
      <c r="J54" s="206"/>
      <c r="K54" s="209"/>
      <c r="L54" s="209"/>
      <c r="M54" s="233" t="s">
        <v>1365</v>
      </c>
      <c r="N54" s="233"/>
      <c r="O54" s="209">
        <v>0.35</v>
      </c>
      <c r="P54" s="13">
        <v>18</v>
      </c>
      <c r="Q54" s="18">
        <f t="shared" si="5"/>
        <v>6.3</v>
      </c>
      <c r="R54" s="209"/>
      <c r="S54" s="308">
        <f t="shared" si="2"/>
        <v>0</v>
      </c>
      <c r="T54" s="306">
        <f t="shared" si="6"/>
        <v>6.3</v>
      </c>
    </row>
    <row r="55" spans="1:20" ht="13.5" thickBot="1" x14ac:dyDescent="0.25">
      <c r="A55" s="302" t="s">
        <v>391</v>
      </c>
      <c r="B55" s="36" t="s">
        <v>571</v>
      </c>
      <c r="C55" s="1">
        <v>55</v>
      </c>
      <c r="D55" s="44"/>
      <c r="E55" s="36" t="s">
        <v>264</v>
      </c>
      <c r="F55" s="1" t="s">
        <v>308</v>
      </c>
      <c r="G55" s="1">
        <v>1</v>
      </c>
      <c r="H55" s="36">
        <v>0.62</v>
      </c>
      <c r="I55" s="36"/>
      <c r="J55" s="36"/>
      <c r="K55" s="201">
        <v>10</v>
      </c>
      <c r="L55" s="18"/>
      <c r="M55" s="102" t="s">
        <v>234</v>
      </c>
      <c r="N55" s="102"/>
      <c r="O55" s="18">
        <v>1.72</v>
      </c>
      <c r="P55" s="54">
        <f>'PRECIOS INSUMOS 2015'!C$5</f>
        <v>2</v>
      </c>
      <c r="Q55" s="18">
        <v>1.75</v>
      </c>
      <c r="R55" s="18">
        <v>1.6129032258064517</v>
      </c>
      <c r="S55" s="308">
        <f t="shared" si="2"/>
        <v>129.03225806451613</v>
      </c>
      <c r="T55" s="306">
        <f t="shared" si="6"/>
        <v>130.78225806451613</v>
      </c>
    </row>
    <row r="56" spans="1:20" x14ac:dyDescent="0.2">
      <c r="A56" s="302" t="s">
        <v>392</v>
      </c>
      <c r="B56" s="206" t="s">
        <v>331</v>
      </c>
      <c r="C56" s="207">
        <v>57</v>
      </c>
      <c r="D56" s="304" t="s">
        <v>257</v>
      </c>
      <c r="E56" s="212" t="s">
        <v>305</v>
      </c>
      <c r="F56" s="207" t="s">
        <v>436</v>
      </c>
      <c r="G56" s="207">
        <v>0.6</v>
      </c>
      <c r="H56" s="206">
        <v>1.49</v>
      </c>
      <c r="I56" s="206"/>
      <c r="J56" s="206"/>
      <c r="K56" s="201">
        <v>10</v>
      </c>
      <c r="L56" s="209"/>
      <c r="M56" s="233" t="s">
        <v>234</v>
      </c>
      <c r="N56" s="233"/>
      <c r="O56" s="209">
        <f>0.86*0.6</f>
        <v>0.51600000000000001</v>
      </c>
      <c r="P56" s="54">
        <f>'PRECIOS INSUMOS 2015'!C$5</f>
        <v>2</v>
      </c>
      <c r="Q56" s="18">
        <f t="shared" ref="Q56:Q115" si="7">P56*O56</f>
        <v>1.032</v>
      </c>
      <c r="R56" s="209">
        <f>G56/H56</f>
        <v>0.40268456375838924</v>
      </c>
      <c r="S56" s="308">
        <f t="shared" si="2"/>
        <v>32.214765100671137</v>
      </c>
      <c r="T56" s="306">
        <f t="shared" si="6"/>
        <v>33.246765100671141</v>
      </c>
    </row>
    <row r="57" spans="1:20" ht="13.5" thickBot="1" x14ac:dyDescent="0.25">
      <c r="A57" s="302" t="s">
        <v>393</v>
      </c>
      <c r="B57" s="211" t="s">
        <v>375</v>
      </c>
      <c r="C57" s="207">
        <v>57</v>
      </c>
      <c r="D57" s="304" t="s">
        <v>266</v>
      </c>
      <c r="E57" s="206" t="s">
        <v>266</v>
      </c>
      <c r="F57" s="207" t="s">
        <v>436</v>
      </c>
      <c r="G57" s="207">
        <v>0.6</v>
      </c>
      <c r="H57" s="206">
        <v>0.17</v>
      </c>
      <c r="I57" s="206"/>
      <c r="J57" s="206"/>
      <c r="K57" s="209"/>
      <c r="L57" s="209">
        <v>10</v>
      </c>
      <c r="M57" s="233" t="s">
        <v>633</v>
      </c>
      <c r="N57" s="233"/>
      <c r="O57" s="209">
        <v>0.6</v>
      </c>
      <c r="P57" s="13">
        <f>'PRECIOS INSUMOS 2015'!E$166</f>
        <v>1250</v>
      </c>
      <c r="Q57" s="18">
        <f t="shared" si="7"/>
        <v>750</v>
      </c>
      <c r="R57" s="209">
        <f>G57/H57</f>
        <v>3.5294117647058818</v>
      </c>
      <c r="S57" s="308">
        <f t="shared" si="2"/>
        <v>282.35294117647055</v>
      </c>
      <c r="T57" s="306">
        <f t="shared" si="6"/>
        <v>1032.3529411764705</v>
      </c>
    </row>
    <row r="58" spans="1:20" x14ac:dyDescent="0.2">
      <c r="A58" s="302" t="s">
        <v>395</v>
      </c>
      <c r="B58" s="385" t="s">
        <v>306</v>
      </c>
      <c r="C58" s="375">
        <v>58</v>
      </c>
      <c r="D58" s="304" t="s">
        <v>257</v>
      </c>
      <c r="E58" s="206" t="s">
        <v>360</v>
      </c>
      <c r="F58" s="375" t="s">
        <v>308</v>
      </c>
      <c r="G58" s="375">
        <v>1</v>
      </c>
      <c r="H58" s="374">
        <v>2.8</v>
      </c>
      <c r="I58" s="374"/>
      <c r="J58" s="374"/>
      <c r="K58" s="201">
        <v>10</v>
      </c>
      <c r="L58" s="209"/>
      <c r="M58" s="233" t="s">
        <v>234</v>
      </c>
      <c r="N58" s="233"/>
      <c r="O58" s="209">
        <f>97.97/13.42</f>
        <v>7.3002980625931446</v>
      </c>
      <c r="P58" s="54">
        <f>'PRECIOS INSUMOS 2015'!C$5</f>
        <v>2</v>
      </c>
      <c r="Q58" s="18">
        <f t="shared" si="7"/>
        <v>14.600596125186289</v>
      </c>
      <c r="R58" s="209">
        <f>G58/H58</f>
        <v>0.35714285714285715</v>
      </c>
      <c r="S58" s="308">
        <f t="shared" si="2"/>
        <v>28.571428571428573</v>
      </c>
      <c r="T58" s="306">
        <f t="shared" si="6"/>
        <v>43.172024696614862</v>
      </c>
    </row>
    <row r="59" spans="1:20" ht="13.5" thickBot="1" x14ac:dyDescent="0.25">
      <c r="A59" s="302" t="s">
        <v>396</v>
      </c>
      <c r="B59" s="206" t="s">
        <v>263</v>
      </c>
      <c r="C59" s="207">
        <v>59</v>
      </c>
      <c r="D59" s="304"/>
      <c r="E59" s="206" t="s">
        <v>264</v>
      </c>
      <c r="F59" s="207" t="s">
        <v>308</v>
      </c>
      <c r="G59" s="207">
        <v>1</v>
      </c>
      <c r="H59" s="206"/>
      <c r="I59" s="206"/>
      <c r="J59" s="206"/>
      <c r="K59" s="209"/>
      <c r="L59" s="209"/>
      <c r="M59" s="233" t="s">
        <v>1365</v>
      </c>
      <c r="N59" s="233"/>
      <c r="O59" s="209">
        <v>0.35</v>
      </c>
      <c r="P59" s="13">
        <v>18</v>
      </c>
      <c r="Q59" s="18">
        <f t="shared" si="7"/>
        <v>6.3</v>
      </c>
      <c r="R59" s="209"/>
      <c r="S59" s="308">
        <f t="shared" si="2"/>
        <v>0</v>
      </c>
      <c r="T59" s="306">
        <f t="shared" si="6"/>
        <v>6.3</v>
      </c>
    </row>
    <row r="60" spans="1:20" x14ac:dyDescent="0.2">
      <c r="A60" s="302" t="s">
        <v>397</v>
      </c>
      <c r="B60" s="36" t="s">
        <v>571</v>
      </c>
      <c r="C60" s="1">
        <v>59</v>
      </c>
      <c r="D60" s="44"/>
      <c r="E60" s="36" t="s">
        <v>264</v>
      </c>
      <c r="F60" s="1" t="s">
        <v>308</v>
      </c>
      <c r="G60" s="1">
        <v>1</v>
      </c>
      <c r="H60" s="36">
        <v>0.62</v>
      </c>
      <c r="I60" s="36"/>
      <c r="J60" s="36"/>
      <c r="K60" s="201">
        <v>10</v>
      </c>
      <c r="L60" s="18"/>
      <c r="M60" s="102" t="s">
        <v>234</v>
      </c>
      <c r="N60" s="102"/>
      <c r="O60" s="18">
        <v>1.72</v>
      </c>
      <c r="P60" s="54">
        <f>'PRECIOS INSUMOS 2015'!C$5</f>
        <v>2</v>
      </c>
      <c r="Q60" s="18">
        <f t="shared" si="7"/>
        <v>3.44</v>
      </c>
      <c r="R60" s="18">
        <v>1.6129032258064517</v>
      </c>
      <c r="S60" s="308">
        <f t="shared" si="2"/>
        <v>129.03225806451613</v>
      </c>
      <c r="T60" s="306">
        <f t="shared" si="6"/>
        <v>132.47225806451613</v>
      </c>
    </row>
    <row r="61" spans="1:20" x14ac:dyDescent="0.2">
      <c r="A61" s="302" t="s">
        <v>398</v>
      </c>
      <c r="B61" s="206" t="s">
        <v>274</v>
      </c>
      <c r="C61" s="207">
        <v>61</v>
      </c>
      <c r="D61" s="304" t="s">
        <v>266</v>
      </c>
      <c r="E61" s="206" t="s">
        <v>267</v>
      </c>
      <c r="F61" s="207" t="s">
        <v>291</v>
      </c>
      <c r="G61" s="207">
        <v>1</v>
      </c>
      <c r="H61" s="206">
        <v>0.5</v>
      </c>
      <c r="I61" s="206"/>
      <c r="J61" s="206"/>
      <c r="K61" s="209"/>
      <c r="L61" s="209">
        <v>10</v>
      </c>
      <c r="M61" s="233" t="s">
        <v>285</v>
      </c>
      <c r="N61" s="233"/>
      <c r="O61" s="209">
        <v>2</v>
      </c>
      <c r="P61" s="13">
        <f>'PRECIOS INSUMOS 2015'!C$102</f>
        <v>39</v>
      </c>
      <c r="Q61" s="18">
        <f t="shared" si="7"/>
        <v>78</v>
      </c>
      <c r="R61" s="209">
        <f>G61/H61</f>
        <v>2</v>
      </c>
      <c r="S61" s="308">
        <f t="shared" si="2"/>
        <v>160</v>
      </c>
      <c r="T61" s="306">
        <f t="shared" si="6"/>
        <v>238</v>
      </c>
    </row>
    <row r="62" spans="1:20" ht="13.5" thickBot="1" x14ac:dyDescent="0.25">
      <c r="A62" s="302" t="s">
        <v>399</v>
      </c>
      <c r="B62" s="206" t="s">
        <v>263</v>
      </c>
      <c r="C62" s="207">
        <v>65</v>
      </c>
      <c r="D62" s="304"/>
      <c r="E62" s="206" t="s">
        <v>264</v>
      </c>
      <c r="F62" s="207" t="s">
        <v>308</v>
      </c>
      <c r="G62" s="207">
        <v>1</v>
      </c>
      <c r="H62" s="206"/>
      <c r="I62" s="206"/>
      <c r="J62" s="206"/>
      <c r="K62" s="209"/>
      <c r="L62" s="209"/>
      <c r="M62" s="233" t="s">
        <v>1365</v>
      </c>
      <c r="N62" s="233"/>
      <c r="O62" s="209">
        <v>0.35</v>
      </c>
      <c r="P62" s="13">
        <v>18</v>
      </c>
      <c r="Q62" s="18">
        <f t="shared" si="7"/>
        <v>6.3</v>
      </c>
      <c r="R62" s="209"/>
      <c r="S62" s="308">
        <f t="shared" si="2"/>
        <v>0</v>
      </c>
      <c r="T62" s="306">
        <f t="shared" si="6"/>
        <v>6.3</v>
      </c>
    </row>
    <row r="63" spans="1:20" x14ac:dyDescent="0.2">
      <c r="A63" s="302" t="s">
        <v>401</v>
      </c>
      <c r="B63" s="36" t="s">
        <v>571</v>
      </c>
      <c r="C63" s="1">
        <v>65</v>
      </c>
      <c r="D63" s="44"/>
      <c r="E63" s="36" t="s">
        <v>264</v>
      </c>
      <c r="F63" s="1" t="s">
        <v>308</v>
      </c>
      <c r="G63" s="1">
        <v>1</v>
      </c>
      <c r="H63" s="36">
        <v>0.62</v>
      </c>
      <c r="I63" s="36"/>
      <c r="J63" s="36"/>
      <c r="K63" s="201">
        <v>10</v>
      </c>
      <c r="L63" s="18"/>
      <c r="M63" s="102" t="s">
        <v>234</v>
      </c>
      <c r="N63" s="102"/>
      <c r="O63" s="18">
        <v>1.72</v>
      </c>
      <c r="P63" s="54">
        <f>'PRECIOS INSUMOS 2015'!C$5</f>
        <v>2</v>
      </c>
      <c r="Q63" s="18">
        <f t="shared" si="7"/>
        <v>3.44</v>
      </c>
      <c r="R63" s="18">
        <v>1.6129032258064517</v>
      </c>
      <c r="S63" s="308">
        <f t="shared" si="2"/>
        <v>129.03225806451613</v>
      </c>
      <c r="T63" s="306">
        <f t="shared" si="6"/>
        <v>132.47225806451613</v>
      </c>
    </row>
    <row r="64" spans="1:20" ht="13.5" thickBot="1" x14ac:dyDescent="0.25">
      <c r="A64" s="302" t="s">
        <v>402</v>
      </c>
      <c r="B64" s="206" t="s">
        <v>263</v>
      </c>
      <c r="C64" s="207">
        <v>70</v>
      </c>
      <c r="D64" s="207"/>
      <c r="E64" s="206" t="s">
        <v>264</v>
      </c>
      <c r="F64" s="207" t="s">
        <v>308</v>
      </c>
      <c r="G64" s="207">
        <v>1</v>
      </c>
      <c r="H64" s="206"/>
      <c r="I64" s="206"/>
      <c r="J64" s="206"/>
      <c r="K64" s="209"/>
      <c r="L64" s="209"/>
      <c r="M64" s="233" t="s">
        <v>1365</v>
      </c>
      <c r="N64" s="233"/>
      <c r="O64" s="209">
        <v>0.35</v>
      </c>
      <c r="P64" s="13">
        <v>18</v>
      </c>
      <c r="Q64" s="18">
        <f t="shared" si="7"/>
        <v>6.3</v>
      </c>
      <c r="R64" s="209"/>
      <c r="S64" s="308">
        <f t="shared" si="2"/>
        <v>0</v>
      </c>
      <c r="T64" s="306">
        <f t="shared" si="6"/>
        <v>6.3</v>
      </c>
    </row>
    <row r="65" spans="1:20" x14ac:dyDescent="0.2">
      <c r="A65" s="302" t="s">
        <v>403</v>
      </c>
      <c r="B65" s="36" t="s">
        <v>571</v>
      </c>
      <c r="C65" s="1">
        <v>70</v>
      </c>
      <c r="D65" s="44"/>
      <c r="E65" s="36" t="s">
        <v>264</v>
      </c>
      <c r="F65" s="1" t="s">
        <v>308</v>
      </c>
      <c r="G65" s="1">
        <v>1</v>
      </c>
      <c r="H65" s="36">
        <v>0.62</v>
      </c>
      <c r="I65" s="36"/>
      <c r="J65" s="36"/>
      <c r="K65" s="201">
        <v>10</v>
      </c>
      <c r="L65" s="18"/>
      <c r="M65" s="102" t="s">
        <v>234</v>
      </c>
      <c r="N65" s="102"/>
      <c r="O65" s="18">
        <v>1.72</v>
      </c>
      <c r="P65" s="54">
        <f>'PRECIOS INSUMOS 2015'!C$5</f>
        <v>2</v>
      </c>
      <c r="Q65" s="18">
        <f t="shared" si="7"/>
        <v>3.44</v>
      </c>
      <c r="R65" s="18">
        <v>1.6129032258064517</v>
      </c>
      <c r="S65" s="308">
        <f t="shared" si="2"/>
        <v>129.03225806451613</v>
      </c>
      <c r="T65" s="306">
        <f t="shared" si="6"/>
        <v>132.47225806451613</v>
      </c>
    </row>
    <row r="66" spans="1:20" ht="13.5" thickBot="1" x14ac:dyDescent="0.25">
      <c r="A66" s="302" t="s">
        <v>404</v>
      </c>
      <c r="B66" s="206" t="s">
        <v>263</v>
      </c>
      <c r="C66" s="207">
        <v>75</v>
      </c>
      <c r="D66" s="304"/>
      <c r="E66" s="206" t="s">
        <v>264</v>
      </c>
      <c r="F66" s="207" t="s">
        <v>308</v>
      </c>
      <c r="G66" s="207">
        <v>1</v>
      </c>
      <c r="H66" s="206"/>
      <c r="I66" s="206"/>
      <c r="J66" s="206"/>
      <c r="K66" s="209"/>
      <c r="L66" s="209"/>
      <c r="M66" s="233" t="s">
        <v>1365</v>
      </c>
      <c r="N66" s="233"/>
      <c r="O66" s="209">
        <v>0.35</v>
      </c>
      <c r="P66" s="13">
        <v>18</v>
      </c>
      <c r="Q66" s="18">
        <f t="shared" si="7"/>
        <v>6.3</v>
      </c>
      <c r="R66" s="209"/>
      <c r="S66" s="308">
        <f t="shared" si="2"/>
        <v>0</v>
      </c>
      <c r="T66" s="306">
        <f t="shared" si="6"/>
        <v>6.3</v>
      </c>
    </row>
    <row r="67" spans="1:20" x14ac:dyDescent="0.2">
      <c r="A67" s="302" t="s">
        <v>405</v>
      </c>
      <c r="B67" s="36" t="s">
        <v>571</v>
      </c>
      <c r="C67" s="1">
        <v>75</v>
      </c>
      <c r="D67" s="44"/>
      <c r="E67" s="36" t="s">
        <v>264</v>
      </c>
      <c r="F67" s="1" t="s">
        <v>308</v>
      </c>
      <c r="G67" s="1">
        <v>1</v>
      </c>
      <c r="H67" s="36">
        <v>0.62</v>
      </c>
      <c r="I67" s="36"/>
      <c r="J67" s="36"/>
      <c r="K67" s="201">
        <v>10</v>
      </c>
      <c r="L67" s="18"/>
      <c r="M67" s="102" t="s">
        <v>234</v>
      </c>
      <c r="N67" s="102"/>
      <c r="O67" s="18">
        <v>1.72</v>
      </c>
      <c r="P67" s="54">
        <f>'PRECIOS INSUMOS 2015'!C$5</f>
        <v>2</v>
      </c>
      <c r="Q67" s="18">
        <f t="shared" si="7"/>
        <v>3.44</v>
      </c>
      <c r="R67" s="18">
        <v>1.6129032258064517</v>
      </c>
      <c r="S67" s="308">
        <f t="shared" si="2"/>
        <v>129.03225806451613</v>
      </c>
      <c r="T67" s="306">
        <f t="shared" si="6"/>
        <v>132.47225806451613</v>
      </c>
    </row>
    <row r="68" spans="1:20" ht="13.5" thickBot="1" x14ac:dyDescent="0.25">
      <c r="A68" s="302" t="s">
        <v>406</v>
      </c>
      <c r="B68" s="206" t="s">
        <v>263</v>
      </c>
      <c r="C68" s="207">
        <v>80</v>
      </c>
      <c r="D68" s="304"/>
      <c r="E68" s="206" t="s">
        <v>264</v>
      </c>
      <c r="F68" s="207" t="s">
        <v>308</v>
      </c>
      <c r="G68" s="207">
        <v>1</v>
      </c>
      <c r="H68" s="206"/>
      <c r="I68" s="206"/>
      <c r="J68" s="206"/>
      <c r="K68" s="209"/>
      <c r="L68" s="209"/>
      <c r="M68" s="233" t="s">
        <v>1365</v>
      </c>
      <c r="N68" s="233"/>
      <c r="O68" s="209">
        <v>0.35</v>
      </c>
      <c r="P68" s="13">
        <v>18</v>
      </c>
      <c r="Q68" s="18">
        <f t="shared" si="7"/>
        <v>6.3</v>
      </c>
      <c r="R68" s="209"/>
      <c r="S68" s="308">
        <f t="shared" si="2"/>
        <v>0</v>
      </c>
      <c r="T68" s="306">
        <f t="shared" si="6"/>
        <v>6.3</v>
      </c>
    </row>
    <row r="69" spans="1:20" x14ac:dyDescent="0.2">
      <c r="A69" s="302" t="s">
        <v>407</v>
      </c>
      <c r="B69" s="36" t="s">
        <v>571</v>
      </c>
      <c r="C69" s="1">
        <v>80</v>
      </c>
      <c r="D69" s="44"/>
      <c r="E69" s="36" t="s">
        <v>264</v>
      </c>
      <c r="F69" s="1" t="s">
        <v>308</v>
      </c>
      <c r="G69" s="1">
        <v>1</v>
      </c>
      <c r="H69" s="36">
        <v>0.62</v>
      </c>
      <c r="I69" s="36"/>
      <c r="J69" s="36"/>
      <c r="K69" s="201">
        <v>10</v>
      </c>
      <c r="L69" s="18"/>
      <c r="M69" s="102" t="s">
        <v>234</v>
      </c>
      <c r="N69" s="102"/>
      <c r="O69" s="18">
        <v>1.72</v>
      </c>
      <c r="P69" s="54">
        <f>'PRECIOS INSUMOS 2015'!C$5</f>
        <v>2</v>
      </c>
      <c r="Q69" s="18">
        <f t="shared" si="7"/>
        <v>3.44</v>
      </c>
      <c r="R69" s="18">
        <v>1.6129032258064517</v>
      </c>
      <c r="S69" s="308">
        <f t="shared" si="2"/>
        <v>129.03225806451613</v>
      </c>
      <c r="T69" s="306">
        <f t="shared" si="6"/>
        <v>132.47225806451613</v>
      </c>
    </row>
    <row r="70" spans="1:20" ht="13.5" thickBot="1" x14ac:dyDescent="0.25">
      <c r="A70" s="302" t="s">
        <v>408</v>
      </c>
      <c r="B70" s="206" t="s">
        <v>263</v>
      </c>
      <c r="C70" s="207">
        <v>85</v>
      </c>
      <c r="D70" s="304"/>
      <c r="E70" s="206" t="s">
        <v>264</v>
      </c>
      <c r="F70" s="207" t="s">
        <v>308</v>
      </c>
      <c r="G70" s="207">
        <v>1</v>
      </c>
      <c r="H70" s="206"/>
      <c r="I70" s="206"/>
      <c r="J70" s="206"/>
      <c r="K70" s="209"/>
      <c r="L70" s="209"/>
      <c r="M70" s="233" t="s">
        <v>1365</v>
      </c>
      <c r="N70" s="233"/>
      <c r="O70" s="209">
        <v>0.35</v>
      </c>
      <c r="P70" s="13">
        <v>18</v>
      </c>
      <c r="Q70" s="18">
        <f t="shared" si="7"/>
        <v>6.3</v>
      </c>
      <c r="R70" s="209"/>
      <c r="S70" s="308">
        <f t="shared" ref="S70:S125" si="8">(K70+L70)*R70*8</f>
        <v>0</v>
      </c>
      <c r="T70" s="306">
        <f t="shared" si="6"/>
        <v>6.3</v>
      </c>
    </row>
    <row r="71" spans="1:20" x14ac:dyDescent="0.2">
      <c r="A71" s="302" t="s">
        <v>409</v>
      </c>
      <c r="B71" s="36" t="s">
        <v>571</v>
      </c>
      <c r="C71" s="1">
        <v>85</v>
      </c>
      <c r="D71" s="44"/>
      <c r="E71" s="36" t="s">
        <v>264</v>
      </c>
      <c r="F71" s="1" t="s">
        <v>308</v>
      </c>
      <c r="G71" s="1">
        <v>1</v>
      </c>
      <c r="H71" s="36">
        <v>0.62</v>
      </c>
      <c r="I71" s="36"/>
      <c r="J71" s="36"/>
      <c r="K71" s="201">
        <v>10</v>
      </c>
      <c r="L71" s="18"/>
      <c r="M71" s="102" t="s">
        <v>234</v>
      </c>
      <c r="N71" s="102"/>
      <c r="O71" s="18">
        <v>1.72</v>
      </c>
      <c r="P71" s="54">
        <f>'PRECIOS INSUMOS 2015'!C$5</f>
        <v>2</v>
      </c>
      <c r="Q71" s="18">
        <f t="shared" si="7"/>
        <v>3.44</v>
      </c>
      <c r="R71" s="18">
        <v>1.6129032258064517</v>
      </c>
      <c r="S71" s="308">
        <f t="shared" si="8"/>
        <v>129.03225806451613</v>
      </c>
      <c r="T71" s="306">
        <f t="shared" si="6"/>
        <v>132.47225806451613</v>
      </c>
    </row>
    <row r="72" spans="1:20" x14ac:dyDescent="0.2">
      <c r="A72" s="302" t="s">
        <v>410</v>
      </c>
      <c r="B72" s="206" t="s">
        <v>274</v>
      </c>
      <c r="C72" s="207">
        <v>90</v>
      </c>
      <c r="D72" s="1" t="s">
        <v>266</v>
      </c>
      <c r="E72" s="206" t="s">
        <v>385</v>
      </c>
      <c r="F72" s="207" t="s">
        <v>291</v>
      </c>
      <c r="G72" s="207">
        <v>1</v>
      </c>
      <c r="H72" s="206">
        <v>6.5</v>
      </c>
      <c r="I72" s="206"/>
      <c r="J72" s="206"/>
      <c r="K72" s="209"/>
      <c r="L72" s="209"/>
      <c r="M72" s="233" t="s">
        <v>568</v>
      </c>
      <c r="N72" s="233"/>
      <c r="O72" s="209">
        <v>2</v>
      </c>
      <c r="P72" s="13">
        <f>'PRECIOS INSUMOS 2015'!C$85</f>
        <v>87</v>
      </c>
      <c r="Q72" s="18">
        <f t="shared" si="7"/>
        <v>174</v>
      </c>
      <c r="R72" s="209">
        <f>G72/H72</f>
        <v>0.15384615384615385</v>
      </c>
      <c r="S72" s="308">
        <f t="shared" si="8"/>
        <v>0</v>
      </c>
      <c r="T72" s="306">
        <f t="shared" si="6"/>
        <v>174</v>
      </c>
    </row>
    <row r="73" spans="1:20" ht="13.5" thickBot="1" x14ac:dyDescent="0.25">
      <c r="A73" s="302" t="s">
        <v>411</v>
      </c>
      <c r="B73" s="206" t="s">
        <v>263</v>
      </c>
      <c r="C73" s="207">
        <v>93</v>
      </c>
      <c r="D73" s="207"/>
      <c r="E73" s="206" t="s">
        <v>264</v>
      </c>
      <c r="F73" s="207" t="s">
        <v>308</v>
      </c>
      <c r="G73" s="207">
        <v>1</v>
      </c>
      <c r="H73" s="206"/>
      <c r="I73" s="206"/>
      <c r="J73" s="206"/>
      <c r="K73" s="209"/>
      <c r="L73" s="209"/>
      <c r="M73" s="233" t="s">
        <v>1365</v>
      </c>
      <c r="N73" s="233"/>
      <c r="O73" s="209">
        <v>0.35</v>
      </c>
      <c r="P73" s="13">
        <v>18</v>
      </c>
      <c r="Q73" s="18">
        <f t="shared" si="7"/>
        <v>6.3</v>
      </c>
      <c r="R73" s="209"/>
      <c r="S73" s="308">
        <f t="shared" si="8"/>
        <v>0</v>
      </c>
      <c r="T73" s="306">
        <f t="shared" si="6"/>
        <v>6.3</v>
      </c>
    </row>
    <row r="74" spans="1:20" ht="13.5" thickBot="1" x14ac:dyDescent="0.25">
      <c r="A74" s="302" t="s">
        <v>412</v>
      </c>
      <c r="B74" s="36" t="s">
        <v>571</v>
      </c>
      <c r="C74" s="1">
        <v>93</v>
      </c>
      <c r="D74" s="44"/>
      <c r="E74" s="36" t="s">
        <v>264</v>
      </c>
      <c r="F74" s="1" t="s">
        <v>308</v>
      </c>
      <c r="G74" s="1">
        <v>1</v>
      </c>
      <c r="H74" s="36">
        <v>0.62</v>
      </c>
      <c r="I74" s="36"/>
      <c r="J74" s="36"/>
      <c r="K74" s="201">
        <v>10</v>
      </c>
      <c r="L74" s="18"/>
      <c r="M74" s="102" t="s">
        <v>234</v>
      </c>
      <c r="N74" s="102"/>
      <c r="O74" s="18">
        <v>1.72</v>
      </c>
      <c r="P74" s="54">
        <f>'PRECIOS INSUMOS 2015'!C$5</f>
        <v>2</v>
      </c>
      <c r="Q74" s="18">
        <f t="shared" si="7"/>
        <v>3.44</v>
      </c>
      <c r="R74" s="18">
        <v>1.6129032258064517</v>
      </c>
      <c r="S74" s="308">
        <f t="shared" si="8"/>
        <v>129.03225806451613</v>
      </c>
      <c r="T74" s="306">
        <f t="shared" si="6"/>
        <v>132.47225806451613</v>
      </c>
    </row>
    <row r="75" spans="1:20" x14ac:dyDescent="0.2">
      <c r="A75" s="302" t="s">
        <v>413</v>
      </c>
      <c r="B75" s="211" t="s">
        <v>388</v>
      </c>
      <c r="C75" s="207">
        <v>95</v>
      </c>
      <c r="D75" s="304" t="s">
        <v>257</v>
      </c>
      <c r="E75" s="212" t="s">
        <v>305</v>
      </c>
      <c r="F75" s="207" t="s">
        <v>308</v>
      </c>
      <c r="G75" s="207">
        <v>0.5</v>
      </c>
      <c r="H75" s="206">
        <v>1.49</v>
      </c>
      <c r="I75" s="206"/>
      <c r="J75" s="206"/>
      <c r="K75" s="201">
        <v>10</v>
      </c>
      <c r="L75" s="209"/>
      <c r="M75" s="233" t="s">
        <v>234</v>
      </c>
      <c r="N75" s="233"/>
      <c r="O75" s="209">
        <f>102.8/13.42</f>
        <v>7.6602086438152011</v>
      </c>
      <c r="P75" s="54">
        <f>'PRECIOS INSUMOS 2015'!C$5</f>
        <v>2</v>
      </c>
      <c r="Q75" s="18">
        <f t="shared" si="7"/>
        <v>15.320417287630402</v>
      </c>
      <c r="R75" s="209">
        <f>G75/H75</f>
        <v>0.33557046979865773</v>
      </c>
      <c r="S75" s="308">
        <f t="shared" si="8"/>
        <v>26.845637583892618</v>
      </c>
      <c r="T75" s="306">
        <f t="shared" si="6"/>
        <v>42.166054871523016</v>
      </c>
    </row>
    <row r="76" spans="1:20" ht="13.5" thickBot="1" x14ac:dyDescent="0.25">
      <c r="A76" s="302" t="s">
        <v>414</v>
      </c>
      <c r="B76" s="206" t="s">
        <v>365</v>
      </c>
      <c r="C76" s="207">
        <v>97</v>
      </c>
      <c r="D76" s="304"/>
      <c r="E76" s="206" t="s">
        <v>264</v>
      </c>
      <c r="F76" s="207" t="s">
        <v>308</v>
      </c>
      <c r="G76" s="207">
        <v>1</v>
      </c>
      <c r="H76" s="206"/>
      <c r="I76" s="206"/>
      <c r="J76" s="206"/>
      <c r="K76" s="209"/>
      <c r="L76" s="209"/>
      <c r="M76" s="233" t="s">
        <v>1365</v>
      </c>
      <c r="N76" s="233"/>
      <c r="O76" s="209">
        <v>0.35</v>
      </c>
      <c r="P76" s="13">
        <v>18</v>
      </c>
      <c r="Q76" s="18">
        <f t="shared" si="7"/>
        <v>6.3</v>
      </c>
      <c r="R76" s="209"/>
      <c r="S76" s="308">
        <f t="shared" si="8"/>
        <v>0</v>
      </c>
      <c r="T76" s="306">
        <f t="shared" si="6"/>
        <v>6.3</v>
      </c>
    </row>
    <row r="77" spans="1:20" x14ac:dyDescent="0.2">
      <c r="A77" s="302" t="s">
        <v>415</v>
      </c>
      <c r="B77" s="36" t="s">
        <v>571</v>
      </c>
      <c r="C77" s="1">
        <v>97</v>
      </c>
      <c r="D77" s="44"/>
      <c r="E77" s="36" t="s">
        <v>264</v>
      </c>
      <c r="F77" s="1" t="s">
        <v>308</v>
      </c>
      <c r="G77" s="1">
        <v>1</v>
      </c>
      <c r="H77" s="36">
        <v>0.62</v>
      </c>
      <c r="I77" s="36"/>
      <c r="J77" s="36"/>
      <c r="K77" s="201">
        <v>10</v>
      </c>
      <c r="L77" s="18"/>
      <c r="M77" s="102" t="s">
        <v>234</v>
      </c>
      <c r="N77" s="102"/>
      <c r="O77" s="18">
        <v>1.72</v>
      </c>
      <c r="P77" s="54">
        <f>'PRECIOS INSUMOS 2015'!C$5</f>
        <v>2</v>
      </c>
      <c r="Q77" s="18">
        <f t="shared" si="7"/>
        <v>3.44</v>
      </c>
      <c r="R77" s="18">
        <v>1.6129032258064517</v>
      </c>
      <c r="S77" s="308">
        <f t="shared" si="8"/>
        <v>129.03225806451613</v>
      </c>
      <c r="T77" s="306">
        <f t="shared" si="6"/>
        <v>132.47225806451613</v>
      </c>
    </row>
    <row r="78" spans="1:20" ht="13.5" thickBot="1" x14ac:dyDescent="0.25">
      <c r="A78" s="302" t="s">
        <v>416</v>
      </c>
      <c r="B78" s="206" t="s">
        <v>263</v>
      </c>
      <c r="C78" s="207">
        <v>105</v>
      </c>
      <c r="D78" s="304"/>
      <c r="E78" s="206" t="s">
        <v>264</v>
      </c>
      <c r="F78" s="207" t="s">
        <v>308</v>
      </c>
      <c r="G78" s="207">
        <v>1</v>
      </c>
      <c r="H78" s="206"/>
      <c r="I78" s="206"/>
      <c r="J78" s="206"/>
      <c r="K78" s="209"/>
      <c r="L78" s="209"/>
      <c r="M78" s="233" t="s">
        <v>1365</v>
      </c>
      <c r="N78" s="233"/>
      <c r="O78" s="209">
        <v>0.35</v>
      </c>
      <c r="P78" s="13">
        <v>18</v>
      </c>
      <c r="Q78" s="18">
        <f t="shared" si="7"/>
        <v>6.3</v>
      </c>
      <c r="R78" s="209"/>
      <c r="S78" s="308">
        <f t="shared" si="8"/>
        <v>0</v>
      </c>
      <c r="T78" s="306">
        <f t="shared" si="6"/>
        <v>6.3</v>
      </c>
    </row>
    <row r="79" spans="1:20" x14ac:dyDescent="0.2">
      <c r="A79" s="302" t="s">
        <v>417</v>
      </c>
      <c r="B79" s="36" t="s">
        <v>571</v>
      </c>
      <c r="C79" s="1">
        <v>105</v>
      </c>
      <c r="D79" s="44"/>
      <c r="E79" s="36" t="s">
        <v>264</v>
      </c>
      <c r="F79" s="1" t="s">
        <v>308</v>
      </c>
      <c r="G79" s="1">
        <v>1</v>
      </c>
      <c r="H79" s="36">
        <v>0.62</v>
      </c>
      <c r="I79" s="36"/>
      <c r="J79" s="36"/>
      <c r="K79" s="201">
        <v>10</v>
      </c>
      <c r="L79" s="18"/>
      <c r="M79" s="102" t="s">
        <v>234</v>
      </c>
      <c r="N79" s="102"/>
      <c r="O79" s="18">
        <v>1.72</v>
      </c>
      <c r="P79" s="54">
        <f>'PRECIOS INSUMOS 2015'!C$5</f>
        <v>2</v>
      </c>
      <c r="Q79" s="18">
        <f t="shared" si="7"/>
        <v>3.44</v>
      </c>
      <c r="R79" s="18">
        <v>1.6129032258064517</v>
      </c>
      <c r="S79" s="308">
        <f t="shared" si="8"/>
        <v>129.03225806451613</v>
      </c>
      <c r="T79" s="306">
        <f t="shared" si="6"/>
        <v>132.47225806451613</v>
      </c>
    </row>
    <row r="80" spans="1:20" x14ac:dyDescent="0.2">
      <c r="A80" s="302" t="s">
        <v>418</v>
      </c>
      <c r="B80" s="374" t="s">
        <v>394</v>
      </c>
      <c r="C80" s="375">
        <v>110</v>
      </c>
      <c r="D80" s="44" t="s">
        <v>266</v>
      </c>
      <c r="E80" s="374" t="s">
        <v>267</v>
      </c>
      <c r="F80" s="375" t="s">
        <v>308</v>
      </c>
      <c r="G80" s="375">
        <v>1</v>
      </c>
      <c r="H80" s="374">
        <v>2.8</v>
      </c>
      <c r="I80" s="374"/>
      <c r="J80" s="374"/>
      <c r="K80" s="209"/>
      <c r="L80" s="209">
        <v>10</v>
      </c>
      <c r="M80" s="392" t="s">
        <v>568</v>
      </c>
      <c r="N80" s="392"/>
      <c r="O80" s="226">
        <v>2</v>
      </c>
      <c r="P80" s="13">
        <f>'PRECIOS INSUMOS 2015'!C$85</f>
        <v>87</v>
      </c>
      <c r="Q80" s="18">
        <f t="shared" si="7"/>
        <v>174</v>
      </c>
      <c r="R80" s="209">
        <f>G80/H80</f>
        <v>0.35714285714285715</v>
      </c>
      <c r="S80" s="308">
        <f t="shared" si="8"/>
        <v>28.571428571428573</v>
      </c>
      <c r="T80" s="306">
        <f t="shared" si="6"/>
        <v>202.57142857142858</v>
      </c>
    </row>
    <row r="81" spans="1:20" ht="13.5" thickBot="1" x14ac:dyDescent="0.25">
      <c r="A81" s="302" t="s">
        <v>419</v>
      </c>
      <c r="B81" s="206" t="s">
        <v>263</v>
      </c>
      <c r="C81" s="207">
        <v>116</v>
      </c>
      <c r="D81" s="304"/>
      <c r="E81" s="206" t="s">
        <v>264</v>
      </c>
      <c r="F81" s="207" t="s">
        <v>308</v>
      </c>
      <c r="G81" s="207">
        <v>1</v>
      </c>
      <c r="H81" s="206"/>
      <c r="I81" s="206"/>
      <c r="J81" s="206"/>
      <c r="K81" s="209"/>
      <c r="L81" s="209"/>
      <c r="M81" s="233" t="s">
        <v>1365</v>
      </c>
      <c r="N81" s="233"/>
      <c r="O81" s="209">
        <v>0.35</v>
      </c>
      <c r="P81" s="13">
        <v>18</v>
      </c>
      <c r="Q81" s="18">
        <f t="shared" si="7"/>
        <v>6.3</v>
      </c>
      <c r="R81" s="209"/>
      <c r="S81" s="308">
        <f t="shared" si="8"/>
        <v>0</v>
      </c>
      <c r="T81" s="306">
        <f t="shared" si="6"/>
        <v>6.3</v>
      </c>
    </row>
    <row r="82" spans="1:20" x14ac:dyDescent="0.2">
      <c r="A82" s="302" t="s">
        <v>420</v>
      </c>
      <c r="B82" s="36" t="s">
        <v>571</v>
      </c>
      <c r="C82" s="1">
        <v>116</v>
      </c>
      <c r="D82" s="44"/>
      <c r="E82" s="36" t="s">
        <v>264</v>
      </c>
      <c r="F82" s="1" t="s">
        <v>308</v>
      </c>
      <c r="G82" s="1">
        <v>1</v>
      </c>
      <c r="H82" s="36">
        <v>0.62</v>
      </c>
      <c r="I82" s="36"/>
      <c r="J82" s="36"/>
      <c r="K82" s="201">
        <v>10</v>
      </c>
      <c r="L82" s="18"/>
      <c r="M82" s="102" t="s">
        <v>234</v>
      </c>
      <c r="N82" s="102"/>
      <c r="O82" s="18">
        <v>1.72</v>
      </c>
      <c r="P82" s="54">
        <f>'PRECIOS INSUMOS 2015'!C$5</f>
        <v>2</v>
      </c>
      <c r="Q82" s="18">
        <f t="shared" si="7"/>
        <v>3.44</v>
      </c>
      <c r="R82" s="18">
        <v>1.6129032258064517</v>
      </c>
      <c r="S82" s="308">
        <f t="shared" si="8"/>
        <v>129.03225806451613</v>
      </c>
      <c r="T82" s="306">
        <f t="shared" si="6"/>
        <v>132.47225806451613</v>
      </c>
    </row>
    <row r="83" spans="1:20" ht="13.5" thickBot="1" x14ac:dyDescent="0.25">
      <c r="A83" s="302" t="s">
        <v>421</v>
      </c>
      <c r="B83" s="206" t="s">
        <v>263</v>
      </c>
      <c r="C83" s="207">
        <v>123</v>
      </c>
      <c r="D83" s="304"/>
      <c r="E83" s="206" t="s">
        <v>264</v>
      </c>
      <c r="F83" s="207" t="s">
        <v>308</v>
      </c>
      <c r="G83" s="207">
        <v>1</v>
      </c>
      <c r="H83" s="206"/>
      <c r="I83" s="206"/>
      <c r="J83" s="206"/>
      <c r="K83" s="209"/>
      <c r="L83" s="209"/>
      <c r="M83" s="233" t="s">
        <v>1365</v>
      </c>
      <c r="N83" s="233"/>
      <c r="O83" s="209">
        <v>0.35</v>
      </c>
      <c r="P83" s="13">
        <v>18</v>
      </c>
      <c r="Q83" s="18">
        <f t="shared" si="7"/>
        <v>6.3</v>
      </c>
      <c r="R83" s="209"/>
      <c r="S83" s="308">
        <f t="shared" si="8"/>
        <v>0</v>
      </c>
      <c r="T83" s="306">
        <f t="shared" si="6"/>
        <v>6.3</v>
      </c>
    </row>
    <row r="84" spans="1:20" x14ac:dyDescent="0.2">
      <c r="A84" s="302" t="s">
        <v>422</v>
      </c>
      <c r="B84" s="36" t="s">
        <v>571</v>
      </c>
      <c r="C84" s="1">
        <v>123</v>
      </c>
      <c r="D84" s="44"/>
      <c r="E84" s="36" t="s">
        <v>264</v>
      </c>
      <c r="F84" s="1" t="s">
        <v>308</v>
      </c>
      <c r="G84" s="1">
        <v>1</v>
      </c>
      <c r="H84" s="36">
        <v>0.62</v>
      </c>
      <c r="I84" s="36"/>
      <c r="J84" s="36"/>
      <c r="K84" s="201">
        <v>10</v>
      </c>
      <c r="L84" s="18"/>
      <c r="M84" s="102" t="s">
        <v>234</v>
      </c>
      <c r="N84" s="102"/>
      <c r="O84" s="18">
        <v>1.72</v>
      </c>
      <c r="P84" s="54">
        <f>'PRECIOS INSUMOS 2015'!C$5</f>
        <v>2</v>
      </c>
      <c r="Q84" s="18">
        <f t="shared" si="7"/>
        <v>3.44</v>
      </c>
      <c r="R84" s="18">
        <v>1.6129032258064517</v>
      </c>
      <c r="S84" s="308">
        <f t="shared" si="8"/>
        <v>129.03225806451613</v>
      </c>
      <c r="T84" s="306">
        <f t="shared" ref="T84:T123" si="9">S84+Q84</f>
        <v>132.47225806451613</v>
      </c>
    </row>
    <row r="85" spans="1:20" ht="13.5" thickBot="1" x14ac:dyDescent="0.25">
      <c r="A85" s="302" t="s">
        <v>423</v>
      </c>
      <c r="B85" s="206" t="s">
        <v>263</v>
      </c>
      <c r="C85" s="207">
        <v>130</v>
      </c>
      <c r="D85" s="304"/>
      <c r="E85" s="206" t="s">
        <v>264</v>
      </c>
      <c r="F85" s="207" t="s">
        <v>308</v>
      </c>
      <c r="G85" s="207">
        <v>1</v>
      </c>
      <c r="H85" s="206"/>
      <c r="I85" s="206"/>
      <c r="J85" s="206"/>
      <c r="K85" s="209"/>
      <c r="L85" s="209"/>
      <c r="M85" s="233" t="s">
        <v>1365</v>
      </c>
      <c r="N85" s="233"/>
      <c r="O85" s="209">
        <v>0.35</v>
      </c>
      <c r="P85" s="13">
        <v>18</v>
      </c>
      <c r="Q85" s="18">
        <f t="shared" si="7"/>
        <v>6.3</v>
      </c>
      <c r="R85" s="209"/>
      <c r="S85" s="308">
        <f t="shared" si="8"/>
        <v>0</v>
      </c>
      <c r="T85" s="306">
        <f t="shared" si="9"/>
        <v>6.3</v>
      </c>
    </row>
    <row r="86" spans="1:20" x14ac:dyDescent="0.2">
      <c r="A86" s="302" t="s">
        <v>424</v>
      </c>
      <c r="B86" s="36" t="s">
        <v>571</v>
      </c>
      <c r="C86" s="1">
        <v>130</v>
      </c>
      <c r="D86" s="44"/>
      <c r="E86" s="36" t="s">
        <v>264</v>
      </c>
      <c r="F86" s="1" t="s">
        <v>308</v>
      </c>
      <c r="G86" s="1">
        <v>1</v>
      </c>
      <c r="H86" s="36">
        <v>0.62</v>
      </c>
      <c r="I86" s="36"/>
      <c r="J86" s="36"/>
      <c r="K86" s="201">
        <v>10</v>
      </c>
      <c r="L86" s="18"/>
      <c r="M86" s="102" t="s">
        <v>234</v>
      </c>
      <c r="N86" s="102"/>
      <c r="O86" s="18">
        <v>1.72</v>
      </c>
      <c r="P86" s="54">
        <f>'PRECIOS INSUMOS 2015'!C$5</f>
        <v>2</v>
      </c>
      <c r="Q86" s="18">
        <f t="shared" si="7"/>
        <v>3.44</v>
      </c>
      <c r="R86" s="18">
        <v>1.6129032258064517</v>
      </c>
      <c r="S86" s="308">
        <f t="shared" si="8"/>
        <v>129.03225806451613</v>
      </c>
      <c r="T86" s="306">
        <f t="shared" si="9"/>
        <v>132.47225806451613</v>
      </c>
    </row>
    <row r="87" spans="1:20" ht="13.5" thickBot="1" x14ac:dyDescent="0.25">
      <c r="A87" s="302" t="s">
        <v>425</v>
      </c>
      <c r="B87" s="381" t="s">
        <v>400</v>
      </c>
      <c r="C87" s="244">
        <v>135</v>
      </c>
      <c r="D87" s="58" t="s">
        <v>266</v>
      </c>
      <c r="E87" s="381" t="s">
        <v>266</v>
      </c>
      <c r="F87" s="244" t="s">
        <v>308</v>
      </c>
      <c r="G87" s="244">
        <v>1</v>
      </c>
      <c r="H87" s="381">
        <v>0.33</v>
      </c>
      <c r="I87" s="381"/>
      <c r="J87" s="381"/>
      <c r="K87" s="247"/>
      <c r="L87" s="209">
        <v>10</v>
      </c>
      <c r="M87" s="394"/>
      <c r="N87" s="394"/>
      <c r="O87" s="247"/>
      <c r="P87" s="60"/>
      <c r="Q87" s="59">
        <f t="shared" si="7"/>
        <v>0</v>
      </c>
      <c r="R87" s="247">
        <f>G87/H87</f>
        <v>3.0303030303030303</v>
      </c>
      <c r="S87" s="308">
        <f t="shared" si="8"/>
        <v>242.42424242424244</v>
      </c>
      <c r="T87" s="306">
        <f t="shared" si="9"/>
        <v>242.42424242424244</v>
      </c>
    </row>
    <row r="88" spans="1:20" ht="13.5" thickBot="1" x14ac:dyDescent="0.25">
      <c r="A88" s="302" t="s">
        <v>426</v>
      </c>
      <c r="B88" s="206" t="s">
        <v>263</v>
      </c>
      <c r="C88" s="207">
        <v>137</v>
      </c>
      <c r="D88" s="304"/>
      <c r="E88" s="206" t="s">
        <v>264</v>
      </c>
      <c r="F88" s="207" t="s">
        <v>308</v>
      </c>
      <c r="G88" s="207">
        <v>1</v>
      </c>
      <c r="H88" s="206"/>
      <c r="I88" s="206"/>
      <c r="J88" s="206"/>
      <c r="K88" s="209"/>
      <c r="L88" s="209"/>
      <c r="M88" s="233" t="s">
        <v>1365</v>
      </c>
      <c r="N88" s="233"/>
      <c r="O88" s="209">
        <v>0.35</v>
      </c>
      <c r="P88" s="13">
        <v>18</v>
      </c>
      <c r="Q88" s="18">
        <f t="shared" si="7"/>
        <v>6.3</v>
      </c>
      <c r="R88" s="209"/>
      <c r="S88" s="308">
        <f t="shared" si="8"/>
        <v>0</v>
      </c>
      <c r="T88" s="306">
        <f t="shared" si="9"/>
        <v>6.3</v>
      </c>
    </row>
    <row r="89" spans="1:20" x14ac:dyDescent="0.2">
      <c r="A89" s="302" t="s">
        <v>427</v>
      </c>
      <c r="B89" s="36" t="s">
        <v>571</v>
      </c>
      <c r="C89" s="1">
        <v>137</v>
      </c>
      <c r="D89" s="44"/>
      <c r="E89" s="36" t="s">
        <v>264</v>
      </c>
      <c r="F89" s="1" t="s">
        <v>308</v>
      </c>
      <c r="G89" s="1">
        <v>1</v>
      </c>
      <c r="H89" s="36">
        <v>0.62</v>
      </c>
      <c r="I89" s="36"/>
      <c r="J89" s="36"/>
      <c r="K89" s="201">
        <v>10</v>
      </c>
      <c r="L89" s="18"/>
      <c r="M89" s="102" t="s">
        <v>234</v>
      </c>
      <c r="N89" s="102"/>
      <c r="O89" s="18">
        <v>1.72</v>
      </c>
      <c r="P89" s="54">
        <f>'PRECIOS INSUMOS 2015'!C$5</f>
        <v>2</v>
      </c>
      <c r="Q89" s="18">
        <f t="shared" si="7"/>
        <v>3.44</v>
      </c>
      <c r="R89" s="18">
        <v>1.6129032258064517</v>
      </c>
      <c r="S89" s="308">
        <f t="shared" si="8"/>
        <v>129.03225806451613</v>
      </c>
      <c r="T89" s="306">
        <f t="shared" si="9"/>
        <v>132.47225806451613</v>
      </c>
    </row>
    <row r="90" spans="1:20" ht="13.5" thickBot="1" x14ac:dyDescent="0.25">
      <c r="A90" s="302" t="s">
        <v>428</v>
      </c>
      <c r="B90" s="206" t="s">
        <v>263</v>
      </c>
      <c r="C90" s="207">
        <v>144</v>
      </c>
      <c r="D90" s="304"/>
      <c r="E90" s="206" t="s">
        <v>264</v>
      </c>
      <c r="F90" s="207" t="s">
        <v>308</v>
      </c>
      <c r="G90" s="207">
        <v>1</v>
      </c>
      <c r="H90" s="206"/>
      <c r="I90" s="206"/>
      <c r="J90" s="206"/>
      <c r="K90" s="209"/>
      <c r="L90" s="209"/>
      <c r="M90" s="233" t="s">
        <v>1365</v>
      </c>
      <c r="N90" s="233"/>
      <c r="O90" s="209">
        <v>0.35</v>
      </c>
      <c r="P90" s="13">
        <v>18</v>
      </c>
      <c r="Q90" s="18">
        <f t="shared" si="7"/>
        <v>6.3</v>
      </c>
      <c r="R90" s="209"/>
      <c r="S90" s="308">
        <f t="shared" si="8"/>
        <v>0</v>
      </c>
      <c r="T90" s="306">
        <f t="shared" si="9"/>
        <v>6.3</v>
      </c>
    </row>
    <row r="91" spans="1:20" x14ac:dyDescent="0.2">
      <c r="A91" s="302" t="s">
        <v>429</v>
      </c>
      <c r="B91" s="36" t="s">
        <v>571</v>
      </c>
      <c r="C91" s="1">
        <v>144</v>
      </c>
      <c r="D91" s="44"/>
      <c r="E91" s="36" t="s">
        <v>264</v>
      </c>
      <c r="F91" s="1" t="s">
        <v>308</v>
      </c>
      <c r="G91" s="1">
        <v>1</v>
      </c>
      <c r="H91" s="36">
        <v>0.62</v>
      </c>
      <c r="I91" s="36"/>
      <c r="J91" s="36"/>
      <c r="K91" s="201">
        <v>10</v>
      </c>
      <c r="L91" s="18"/>
      <c r="M91" s="102" t="s">
        <v>234</v>
      </c>
      <c r="N91" s="102"/>
      <c r="O91" s="18">
        <v>1.72</v>
      </c>
      <c r="P91" s="54">
        <f>'PRECIOS INSUMOS 2015'!C$5</f>
        <v>2</v>
      </c>
      <c r="Q91" s="18">
        <f t="shared" si="7"/>
        <v>3.44</v>
      </c>
      <c r="R91" s="18">
        <v>1.6129032258064517</v>
      </c>
      <c r="S91" s="308">
        <f t="shared" si="8"/>
        <v>129.03225806451613</v>
      </c>
      <c r="T91" s="306">
        <f t="shared" si="9"/>
        <v>132.47225806451613</v>
      </c>
    </row>
    <row r="92" spans="1:20" ht="13.5" thickBot="1" x14ac:dyDescent="0.25">
      <c r="A92" s="302" t="s">
        <v>430</v>
      </c>
      <c r="B92" s="206" t="s">
        <v>263</v>
      </c>
      <c r="C92" s="207">
        <v>151</v>
      </c>
      <c r="D92" s="304"/>
      <c r="E92" s="206" t="s">
        <v>264</v>
      </c>
      <c r="F92" s="207" t="s">
        <v>308</v>
      </c>
      <c r="G92" s="207">
        <v>1</v>
      </c>
      <c r="H92" s="206"/>
      <c r="I92" s="206"/>
      <c r="J92" s="206"/>
      <c r="K92" s="209"/>
      <c r="L92" s="209"/>
      <c r="M92" s="233" t="s">
        <v>1365</v>
      </c>
      <c r="N92" s="233"/>
      <c r="O92" s="209">
        <v>0.35</v>
      </c>
      <c r="P92" s="13">
        <v>18</v>
      </c>
      <c r="Q92" s="18">
        <f t="shared" si="7"/>
        <v>6.3</v>
      </c>
      <c r="R92" s="209"/>
      <c r="S92" s="308">
        <f t="shared" si="8"/>
        <v>0</v>
      </c>
      <c r="T92" s="306">
        <f t="shared" si="9"/>
        <v>6.3</v>
      </c>
    </row>
    <row r="93" spans="1:20" x14ac:dyDescent="0.2">
      <c r="A93" s="302" t="s">
        <v>433</v>
      </c>
      <c r="B93" s="36" t="s">
        <v>571</v>
      </c>
      <c r="C93" s="1">
        <v>151</v>
      </c>
      <c r="D93" s="44"/>
      <c r="E93" s="36" t="s">
        <v>264</v>
      </c>
      <c r="F93" s="1" t="s">
        <v>308</v>
      </c>
      <c r="G93" s="1">
        <v>1</v>
      </c>
      <c r="H93" s="36">
        <v>0.62</v>
      </c>
      <c r="I93" s="36"/>
      <c r="J93" s="36"/>
      <c r="K93" s="201">
        <v>10</v>
      </c>
      <c r="L93" s="18"/>
      <c r="M93" s="102" t="s">
        <v>234</v>
      </c>
      <c r="N93" s="102"/>
      <c r="O93" s="18">
        <v>1.72</v>
      </c>
      <c r="P93" s="54">
        <f>'PRECIOS INSUMOS 2015'!C$5</f>
        <v>2</v>
      </c>
      <c r="Q93" s="18">
        <f t="shared" si="7"/>
        <v>3.44</v>
      </c>
      <c r="R93" s="18">
        <v>1.6129032258064517</v>
      </c>
      <c r="S93" s="308">
        <f t="shared" si="8"/>
        <v>129.03225806451613</v>
      </c>
      <c r="T93" s="306">
        <f t="shared" si="9"/>
        <v>132.47225806451613</v>
      </c>
    </row>
    <row r="94" spans="1:20" ht="13.5" thickBot="1" x14ac:dyDescent="0.25">
      <c r="A94" s="302" t="s">
        <v>434</v>
      </c>
      <c r="B94" s="206" t="s">
        <v>263</v>
      </c>
      <c r="C94" s="207">
        <v>158</v>
      </c>
      <c r="D94" s="304"/>
      <c r="E94" s="206" t="s">
        <v>264</v>
      </c>
      <c r="F94" s="207" t="s">
        <v>308</v>
      </c>
      <c r="G94" s="207">
        <v>1</v>
      </c>
      <c r="H94" s="206"/>
      <c r="I94" s="206"/>
      <c r="J94" s="206"/>
      <c r="K94" s="209"/>
      <c r="L94" s="209"/>
      <c r="M94" s="233" t="s">
        <v>1365</v>
      </c>
      <c r="N94" s="233"/>
      <c r="O94" s="209">
        <v>0.35</v>
      </c>
      <c r="P94" s="13">
        <v>18</v>
      </c>
      <c r="Q94" s="18">
        <f t="shared" si="7"/>
        <v>6.3</v>
      </c>
      <c r="R94" s="209"/>
      <c r="S94" s="308">
        <f t="shared" si="8"/>
        <v>0</v>
      </c>
      <c r="T94" s="306">
        <f t="shared" si="9"/>
        <v>6.3</v>
      </c>
    </row>
    <row r="95" spans="1:20" x14ac:dyDescent="0.2">
      <c r="A95" s="302" t="s">
        <v>435</v>
      </c>
      <c r="B95" s="36" t="s">
        <v>571</v>
      </c>
      <c r="C95" s="1">
        <v>158</v>
      </c>
      <c r="D95" s="44"/>
      <c r="E95" s="36" t="s">
        <v>264</v>
      </c>
      <c r="F95" s="1" t="s">
        <v>308</v>
      </c>
      <c r="G95" s="1">
        <v>1</v>
      </c>
      <c r="H95" s="36">
        <v>0.62</v>
      </c>
      <c r="I95" s="36"/>
      <c r="J95" s="36"/>
      <c r="K95" s="201">
        <v>10</v>
      </c>
      <c r="L95" s="18"/>
      <c r="M95" s="102" t="s">
        <v>234</v>
      </c>
      <c r="N95" s="102"/>
      <c r="O95" s="18">
        <v>1.72</v>
      </c>
      <c r="P95" s="54">
        <f>'PRECIOS INSUMOS 2015'!C$5</f>
        <v>2</v>
      </c>
      <c r="Q95" s="18">
        <f t="shared" si="7"/>
        <v>3.44</v>
      </c>
      <c r="R95" s="18">
        <v>1.6129032258064517</v>
      </c>
      <c r="S95" s="308">
        <f t="shared" si="8"/>
        <v>129.03225806451613</v>
      </c>
      <c r="T95" s="306">
        <f t="shared" si="9"/>
        <v>132.47225806451613</v>
      </c>
    </row>
    <row r="96" spans="1:20" ht="13.5" thickBot="1" x14ac:dyDescent="0.25">
      <c r="A96" s="302" t="s">
        <v>529</v>
      </c>
      <c r="B96" s="206" t="s">
        <v>263</v>
      </c>
      <c r="C96" s="207">
        <v>165</v>
      </c>
      <c r="D96" s="304"/>
      <c r="E96" s="206" t="s">
        <v>264</v>
      </c>
      <c r="F96" s="207" t="s">
        <v>308</v>
      </c>
      <c r="G96" s="207">
        <v>1</v>
      </c>
      <c r="H96" s="206"/>
      <c r="I96" s="206"/>
      <c r="J96" s="206"/>
      <c r="K96" s="209"/>
      <c r="L96" s="209"/>
      <c r="M96" s="233" t="s">
        <v>1365</v>
      </c>
      <c r="N96" s="233"/>
      <c r="O96" s="209">
        <v>0.35</v>
      </c>
      <c r="P96" s="13">
        <v>18</v>
      </c>
      <c r="Q96" s="18">
        <f t="shared" si="7"/>
        <v>6.3</v>
      </c>
      <c r="R96" s="209"/>
      <c r="S96" s="308">
        <f t="shared" si="8"/>
        <v>0</v>
      </c>
      <c r="T96" s="306">
        <f t="shared" si="9"/>
        <v>6.3</v>
      </c>
    </row>
    <row r="97" spans="1:20" x14ac:dyDescent="0.2">
      <c r="A97" s="302" t="s">
        <v>530</v>
      </c>
      <c r="B97" s="36" t="s">
        <v>571</v>
      </c>
      <c r="C97" s="1">
        <v>165</v>
      </c>
      <c r="D97" s="44"/>
      <c r="E97" s="36" t="s">
        <v>264</v>
      </c>
      <c r="F97" s="1" t="s">
        <v>308</v>
      </c>
      <c r="G97" s="1">
        <v>1</v>
      </c>
      <c r="H97" s="36">
        <v>0.62</v>
      </c>
      <c r="I97" s="36"/>
      <c r="J97" s="36"/>
      <c r="K97" s="201">
        <v>10</v>
      </c>
      <c r="L97" s="18"/>
      <c r="M97" s="102" t="s">
        <v>234</v>
      </c>
      <c r="N97" s="102"/>
      <c r="O97" s="18">
        <v>1.72</v>
      </c>
      <c r="P97" s="54">
        <f>'PRECIOS INSUMOS 2015'!C$5</f>
        <v>2</v>
      </c>
      <c r="Q97" s="18">
        <f t="shared" si="7"/>
        <v>3.44</v>
      </c>
      <c r="R97" s="18">
        <v>1.6129032258064517</v>
      </c>
      <c r="S97" s="308">
        <f t="shared" si="8"/>
        <v>129.03225806451613</v>
      </c>
      <c r="T97" s="306">
        <f t="shared" si="9"/>
        <v>132.47225806451613</v>
      </c>
    </row>
    <row r="98" spans="1:20" ht="13.5" thickBot="1" x14ac:dyDescent="0.25">
      <c r="A98" s="302" t="s">
        <v>531</v>
      </c>
      <c r="B98" s="206" t="s">
        <v>263</v>
      </c>
      <c r="C98" s="207">
        <v>172</v>
      </c>
      <c r="D98" s="304"/>
      <c r="E98" s="206" t="s">
        <v>264</v>
      </c>
      <c r="F98" s="207" t="s">
        <v>308</v>
      </c>
      <c r="G98" s="207">
        <v>1</v>
      </c>
      <c r="H98" s="206"/>
      <c r="I98" s="206"/>
      <c r="J98" s="206"/>
      <c r="K98" s="209"/>
      <c r="L98" s="209"/>
      <c r="M98" s="233" t="s">
        <v>1365</v>
      </c>
      <c r="N98" s="233"/>
      <c r="O98" s="209">
        <v>0.35</v>
      </c>
      <c r="P98" s="13">
        <v>18</v>
      </c>
      <c r="Q98" s="18">
        <f t="shared" si="7"/>
        <v>6.3</v>
      </c>
      <c r="R98" s="209"/>
      <c r="S98" s="308">
        <f t="shared" si="8"/>
        <v>0</v>
      </c>
      <c r="T98" s="306">
        <f t="shared" si="9"/>
        <v>6.3</v>
      </c>
    </row>
    <row r="99" spans="1:20" x14ac:dyDescent="0.2">
      <c r="A99" s="302" t="s">
        <v>532</v>
      </c>
      <c r="B99" s="36" t="s">
        <v>571</v>
      </c>
      <c r="C99" s="1">
        <v>172</v>
      </c>
      <c r="D99" s="44"/>
      <c r="E99" s="36" t="s">
        <v>264</v>
      </c>
      <c r="F99" s="1" t="s">
        <v>308</v>
      </c>
      <c r="G99" s="1">
        <v>1</v>
      </c>
      <c r="H99" s="36">
        <v>0.62</v>
      </c>
      <c r="I99" s="36"/>
      <c r="J99" s="36"/>
      <c r="K99" s="201">
        <v>10</v>
      </c>
      <c r="L99" s="18"/>
      <c r="M99" s="102" t="s">
        <v>234</v>
      </c>
      <c r="N99" s="102"/>
      <c r="O99" s="18">
        <v>1.72</v>
      </c>
      <c r="P99" s="54">
        <f>'PRECIOS INSUMOS 2015'!C$5</f>
        <v>2</v>
      </c>
      <c r="Q99" s="18">
        <f t="shared" si="7"/>
        <v>3.44</v>
      </c>
      <c r="R99" s="18">
        <v>1.6129032258064517</v>
      </c>
      <c r="S99" s="308">
        <f t="shared" si="8"/>
        <v>129.03225806451613</v>
      </c>
      <c r="T99" s="306">
        <f t="shared" si="9"/>
        <v>132.47225806451613</v>
      </c>
    </row>
    <row r="100" spans="1:20" ht="13.5" thickBot="1" x14ac:dyDescent="0.25">
      <c r="A100" s="302" t="s">
        <v>516</v>
      </c>
      <c r="B100" s="206" t="s">
        <v>263</v>
      </c>
      <c r="C100" s="207">
        <v>179</v>
      </c>
      <c r="D100" s="304"/>
      <c r="E100" s="206" t="s">
        <v>264</v>
      </c>
      <c r="F100" s="207" t="s">
        <v>308</v>
      </c>
      <c r="G100" s="207">
        <v>1</v>
      </c>
      <c r="H100" s="206"/>
      <c r="I100" s="206"/>
      <c r="J100" s="206"/>
      <c r="K100" s="209"/>
      <c r="L100" s="209"/>
      <c r="M100" s="233" t="s">
        <v>1365</v>
      </c>
      <c r="N100" s="233"/>
      <c r="O100" s="209">
        <v>0.35</v>
      </c>
      <c r="P100" s="13">
        <v>18</v>
      </c>
      <c r="Q100" s="18">
        <f t="shared" si="7"/>
        <v>6.3</v>
      </c>
      <c r="R100" s="209"/>
      <c r="S100" s="308">
        <f t="shared" si="8"/>
        <v>0</v>
      </c>
      <c r="T100" s="306">
        <f t="shared" si="9"/>
        <v>6.3</v>
      </c>
    </row>
    <row r="101" spans="1:20" x14ac:dyDescent="0.2">
      <c r="A101" s="302" t="s">
        <v>533</v>
      </c>
      <c r="B101" s="36" t="s">
        <v>571</v>
      </c>
      <c r="C101" s="1">
        <v>179</v>
      </c>
      <c r="D101" s="1"/>
      <c r="E101" s="36" t="s">
        <v>264</v>
      </c>
      <c r="F101" s="1" t="s">
        <v>308</v>
      </c>
      <c r="G101" s="1">
        <v>1</v>
      </c>
      <c r="H101" s="36">
        <v>0.62</v>
      </c>
      <c r="I101" s="36"/>
      <c r="J101" s="36"/>
      <c r="K101" s="201">
        <v>10</v>
      </c>
      <c r="L101" s="18"/>
      <c r="M101" s="102" t="s">
        <v>234</v>
      </c>
      <c r="N101" s="102"/>
      <c r="O101" s="18">
        <v>1.72</v>
      </c>
      <c r="P101" s="54">
        <f>'PRECIOS INSUMOS 2015'!C$5</f>
        <v>2</v>
      </c>
      <c r="Q101" s="18">
        <f t="shared" si="7"/>
        <v>3.44</v>
      </c>
      <c r="R101" s="18">
        <v>1.6129032258064517</v>
      </c>
      <c r="S101" s="308">
        <f t="shared" si="8"/>
        <v>129.03225806451613</v>
      </c>
      <c r="T101" s="306">
        <f t="shared" si="9"/>
        <v>132.47225806451613</v>
      </c>
    </row>
    <row r="102" spans="1:20" x14ac:dyDescent="0.2">
      <c r="A102" s="302" t="s">
        <v>497</v>
      </c>
      <c r="B102" s="206" t="s">
        <v>400</v>
      </c>
      <c r="C102" s="207">
        <v>182</v>
      </c>
      <c r="D102" s="44" t="s">
        <v>266</v>
      </c>
      <c r="E102" s="206" t="s">
        <v>266</v>
      </c>
      <c r="F102" s="207" t="s">
        <v>308</v>
      </c>
      <c r="G102" s="207">
        <v>1</v>
      </c>
      <c r="H102" s="206">
        <v>1</v>
      </c>
      <c r="I102" s="206"/>
      <c r="J102" s="206"/>
      <c r="K102" s="209"/>
      <c r="L102" s="209">
        <v>10</v>
      </c>
      <c r="M102" s="233"/>
      <c r="N102" s="233"/>
      <c r="O102" s="209"/>
      <c r="P102" s="13"/>
      <c r="Q102" s="18">
        <f t="shared" si="7"/>
        <v>0</v>
      </c>
      <c r="R102" s="209">
        <f>G102/H102</f>
        <v>1</v>
      </c>
      <c r="S102" s="308">
        <f t="shared" si="8"/>
        <v>80</v>
      </c>
      <c r="T102" s="306">
        <f t="shared" si="9"/>
        <v>80</v>
      </c>
    </row>
    <row r="103" spans="1:20" x14ac:dyDescent="0.2">
      <c r="A103" s="302" t="s">
        <v>517</v>
      </c>
      <c r="B103" s="206" t="s">
        <v>274</v>
      </c>
      <c r="C103" s="207">
        <v>183</v>
      </c>
      <c r="D103" s="304" t="s">
        <v>266</v>
      </c>
      <c r="E103" s="206" t="s">
        <v>267</v>
      </c>
      <c r="F103" s="207" t="s">
        <v>291</v>
      </c>
      <c r="G103" s="207">
        <v>1</v>
      </c>
      <c r="H103" s="206">
        <v>0.5</v>
      </c>
      <c r="I103" s="206"/>
      <c r="J103" s="206"/>
      <c r="K103" s="209"/>
      <c r="L103" s="209">
        <v>10</v>
      </c>
      <c r="M103" s="233" t="s">
        <v>285</v>
      </c>
      <c r="N103" s="233"/>
      <c r="O103" s="209">
        <v>2</v>
      </c>
      <c r="P103" s="13">
        <f>'PRECIOS INSUMOS 2015'!C$102</f>
        <v>39</v>
      </c>
      <c r="Q103" s="18">
        <f t="shared" si="7"/>
        <v>78</v>
      </c>
      <c r="R103" s="209">
        <f>G103/H103</f>
        <v>2</v>
      </c>
      <c r="S103" s="308">
        <f t="shared" si="8"/>
        <v>160</v>
      </c>
      <c r="T103" s="306">
        <f t="shared" si="9"/>
        <v>238</v>
      </c>
    </row>
    <row r="104" spans="1:20" ht="13.5" thickBot="1" x14ac:dyDescent="0.25">
      <c r="A104" s="302" t="s">
        <v>534</v>
      </c>
      <c r="B104" s="206" t="s">
        <v>263</v>
      </c>
      <c r="C104" s="207">
        <v>186</v>
      </c>
      <c r="D104" s="304"/>
      <c r="E104" s="206" t="s">
        <v>264</v>
      </c>
      <c r="F104" s="207" t="s">
        <v>308</v>
      </c>
      <c r="G104" s="207">
        <v>1</v>
      </c>
      <c r="H104" s="206"/>
      <c r="I104" s="206"/>
      <c r="J104" s="206"/>
      <c r="K104" s="209"/>
      <c r="L104" s="209"/>
      <c r="M104" s="233" t="s">
        <v>1365</v>
      </c>
      <c r="N104" s="233"/>
      <c r="O104" s="209">
        <v>0.35</v>
      </c>
      <c r="P104" s="13">
        <v>18</v>
      </c>
      <c r="Q104" s="18">
        <f t="shared" si="7"/>
        <v>6.3</v>
      </c>
      <c r="R104" s="209"/>
      <c r="S104" s="308">
        <f t="shared" si="8"/>
        <v>0</v>
      </c>
      <c r="T104" s="306">
        <f t="shared" si="9"/>
        <v>6.3</v>
      </c>
    </row>
    <row r="105" spans="1:20" x14ac:dyDescent="0.2">
      <c r="A105" s="302" t="s">
        <v>498</v>
      </c>
      <c r="B105" s="36" t="s">
        <v>571</v>
      </c>
      <c r="C105" s="1">
        <v>186</v>
      </c>
      <c r="D105" s="44"/>
      <c r="E105" s="36" t="s">
        <v>264</v>
      </c>
      <c r="F105" s="1" t="s">
        <v>308</v>
      </c>
      <c r="G105" s="1">
        <v>1</v>
      </c>
      <c r="H105" s="36">
        <v>0.62</v>
      </c>
      <c r="I105" s="36"/>
      <c r="J105" s="36"/>
      <c r="K105" s="201">
        <v>10</v>
      </c>
      <c r="L105" s="18"/>
      <c r="M105" s="102" t="s">
        <v>234</v>
      </c>
      <c r="N105" s="102"/>
      <c r="O105" s="18">
        <v>1.72</v>
      </c>
      <c r="P105" s="54">
        <f>'PRECIOS INSUMOS 2015'!C$5</f>
        <v>2</v>
      </c>
      <c r="Q105" s="18">
        <f t="shared" si="7"/>
        <v>3.44</v>
      </c>
      <c r="R105" s="18">
        <v>1.6129032258064517</v>
      </c>
      <c r="S105" s="308">
        <f t="shared" si="8"/>
        <v>129.03225806451613</v>
      </c>
      <c r="T105" s="306">
        <f t="shared" si="9"/>
        <v>132.47225806451613</v>
      </c>
    </row>
    <row r="106" spans="1:20" ht="13.5" thickBot="1" x14ac:dyDescent="0.25">
      <c r="A106" s="302" t="s">
        <v>535</v>
      </c>
      <c r="B106" s="206" t="s">
        <v>263</v>
      </c>
      <c r="C106" s="207">
        <v>193</v>
      </c>
      <c r="D106" s="304"/>
      <c r="E106" s="206" t="s">
        <v>264</v>
      </c>
      <c r="F106" s="207" t="s">
        <v>308</v>
      </c>
      <c r="G106" s="207">
        <v>1</v>
      </c>
      <c r="H106" s="206"/>
      <c r="I106" s="206"/>
      <c r="J106" s="206"/>
      <c r="K106" s="209"/>
      <c r="L106" s="209"/>
      <c r="M106" s="233" t="s">
        <v>1365</v>
      </c>
      <c r="N106" s="233"/>
      <c r="O106" s="209">
        <v>0.35</v>
      </c>
      <c r="P106" s="13">
        <v>18</v>
      </c>
      <c r="Q106" s="18">
        <f t="shared" si="7"/>
        <v>6.3</v>
      </c>
      <c r="R106" s="209"/>
      <c r="S106" s="308">
        <f t="shared" si="8"/>
        <v>0</v>
      </c>
      <c r="T106" s="306">
        <f t="shared" si="9"/>
        <v>6.3</v>
      </c>
    </row>
    <row r="107" spans="1:20" x14ac:dyDescent="0.2">
      <c r="A107" s="302" t="s">
        <v>536</v>
      </c>
      <c r="B107" s="36" t="s">
        <v>571</v>
      </c>
      <c r="C107" s="1">
        <v>193</v>
      </c>
      <c r="D107" s="44"/>
      <c r="E107" s="36" t="s">
        <v>264</v>
      </c>
      <c r="F107" s="1" t="s">
        <v>308</v>
      </c>
      <c r="G107" s="1">
        <v>1</v>
      </c>
      <c r="H107" s="36">
        <v>0.62</v>
      </c>
      <c r="I107" s="36"/>
      <c r="J107" s="36"/>
      <c r="K107" s="201">
        <v>10</v>
      </c>
      <c r="L107" s="18"/>
      <c r="M107" s="102" t="s">
        <v>234</v>
      </c>
      <c r="N107" s="102"/>
      <c r="O107" s="18">
        <v>1.72</v>
      </c>
      <c r="P107" s="54">
        <f>'PRECIOS INSUMOS 2015'!C$5</f>
        <v>2</v>
      </c>
      <c r="Q107" s="18">
        <f t="shared" si="7"/>
        <v>3.44</v>
      </c>
      <c r="R107" s="18">
        <v>1.6129032258064517</v>
      </c>
      <c r="S107" s="308">
        <f t="shared" si="8"/>
        <v>129.03225806451613</v>
      </c>
      <c r="T107" s="306">
        <f t="shared" si="9"/>
        <v>132.47225806451613</v>
      </c>
    </row>
    <row r="108" spans="1:20" ht="13.5" thickBot="1" x14ac:dyDescent="0.25">
      <c r="A108" s="302" t="s">
        <v>518</v>
      </c>
      <c r="B108" s="206" t="s">
        <v>263</v>
      </c>
      <c r="C108" s="207">
        <v>200</v>
      </c>
      <c r="D108" s="304"/>
      <c r="E108" s="206" t="s">
        <v>264</v>
      </c>
      <c r="F108" s="207" t="s">
        <v>308</v>
      </c>
      <c r="G108" s="207">
        <v>1</v>
      </c>
      <c r="H108" s="206"/>
      <c r="I108" s="206"/>
      <c r="J108" s="206"/>
      <c r="K108" s="209"/>
      <c r="L108" s="209"/>
      <c r="M108" s="233" t="s">
        <v>1365</v>
      </c>
      <c r="N108" s="233"/>
      <c r="O108" s="209">
        <v>0.35</v>
      </c>
      <c r="P108" s="13">
        <v>18</v>
      </c>
      <c r="Q108" s="18">
        <f t="shared" si="7"/>
        <v>6.3</v>
      </c>
      <c r="R108" s="209"/>
      <c r="S108" s="308">
        <f t="shared" si="8"/>
        <v>0</v>
      </c>
      <c r="T108" s="306">
        <f t="shared" si="9"/>
        <v>6.3</v>
      </c>
    </row>
    <row r="109" spans="1:20" x14ac:dyDescent="0.2">
      <c r="A109" s="302" t="s">
        <v>537</v>
      </c>
      <c r="B109" s="36" t="s">
        <v>571</v>
      </c>
      <c r="C109" s="1">
        <v>200</v>
      </c>
      <c r="D109" s="44"/>
      <c r="E109" s="36" t="s">
        <v>264</v>
      </c>
      <c r="F109" s="1" t="s">
        <v>308</v>
      </c>
      <c r="G109" s="1">
        <v>1</v>
      </c>
      <c r="H109" s="36">
        <v>0.62</v>
      </c>
      <c r="I109" s="36"/>
      <c r="J109" s="36"/>
      <c r="K109" s="201">
        <v>10</v>
      </c>
      <c r="L109" s="18"/>
      <c r="M109" s="102" t="s">
        <v>234</v>
      </c>
      <c r="N109" s="102"/>
      <c r="O109" s="18">
        <v>1.72</v>
      </c>
      <c r="P109" s="54">
        <f>'PRECIOS INSUMOS 2015'!C$5</f>
        <v>2</v>
      </c>
      <c r="Q109" s="18">
        <f t="shared" si="7"/>
        <v>3.44</v>
      </c>
      <c r="R109" s="18">
        <v>1.6129032258064517</v>
      </c>
      <c r="S109" s="308">
        <f t="shared" si="8"/>
        <v>129.03225806451613</v>
      </c>
      <c r="T109" s="306">
        <f t="shared" si="9"/>
        <v>132.47225806451613</v>
      </c>
    </row>
    <row r="110" spans="1:20" ht="13.5" thickBot="1" x14ac:dyDescent="0.25">
      <c r="A110" s="302" t="s">
        <v>499</v>
      </c>
      <c r="B110" s="206" t="s">
        <v>263</v>
      </c>
      <c r="C110" s="207">
        <v>207</v>
      </c>
      <c r="D110" s="304"/>
      <c r="E110" s="206" t="s">
        <v>264</v>
      </c>
      <c r="F110" s="207" t="s">
        <v>308</v>
      </c>
      <c r="G110" s="207">
        <v>1</v>
      </c>
      <c r="H110" s="206"/>
      <c r="I110" s="206"/>
      <c r="J110" s="206"/>
      <c r="K110" s="209"/>
      <c r="L110" s="209"/>
      <c r="M110" s="233" t="s">
        <v>1365</v>
      </c>
      <c r="N110" s="233"/>
      <c r="O110" s="209">
        <v>0.35</v>
      </c>
      <c r="P110" s="13">
        <v>18</v>
      </c>
      <c r="Q110" s="18">
        <f t="shared" si="7"/>
        <v>6.3</v>
      </c>
      <c r="R110" s="209"/>
      <c r="S110" s="308">
        <f t="shared" si="8"/>
        <v>0</v>
      </c>
      <c r="T110" s="306">
        <f t="shared" si="9"/>
        <v>6.3</v>
      </c>
    </row>
    <row r="111" spans="1:20" x14ac:dyDescent="0.2">
      <c r="A111" s="302" t="s">
        <v>519</v>
      </c>
      <c r="B111" s="36" t="s">
        <v>571</v>
      </c>
      <c r="C111" s="1">
        <v>207</v>
      </c>
      <c r="D111" s="44"/>
      <c r="E111" s="36" t="s">
        <v>264</v>
      </c>
      <c r="F111" s="1" t="s">
        <v>308</v>
      </c>
      <c r="G111" s="1">
        <v>1</v>
      </c>
      <c r="H111" s="36">
        <v>0.62</v>
      </c>
      <c r="I111" s="36"/>
      <c r="J111" s="36"/>
      <c r="K111" s="201">
        <v>10</v>
      </c>
      <c r="L111" s="18"/>
      <c r="M111" s="102" t="s">
        <v>234</v>
      </c>
      <c r="N111" s="102"/>
      <c r="O111" s="18">
        <v>1.72</v>
      </c>
      <c r="P111" s="54">
        <f>'PRECIOS INSUMOS 2015'!C$5</f>
        <v>2</v>
      </c>
      <c r="Q111" s="18">
        <f t="shared" si="7"/>
        <v>3.44</v>
      </c>
      <c r="R111" s="18">
        <v>1.6129032258064517</v>
      </c>
      <c r="S111" s="308">
        <f t="shared" si="8"/>
        <v>129.03225806451613</v>
      </c>
      <c r="T111" s="306">
        <f t="shared" si="9"/>
        <v>132.47225806451613</v>
      </c>
    </row>
    <row r="112" spans="1:20" ht="13.5" thickBot="1" x14ac:dyDescent="0.25">
      <c r="A112" s="302" t="s">
        <v>500</v>
      </c>
      <c r="B112" s="206" t="s">
        <v>263</v>
      </c>
      <c r="C112" s="207">
        <v>214</v>
      </c>
      <c r="D112" s="304"/>
      <c r="E112" s="206" t="s">
        <v>264</v>
      </c>
      <c r="F112" s="207" t="s">
        <v>308</v>
      </c>
      <c r="G112" s="207">
        <v>1</v>
      </c>
      <c r="H112" s="206"/>
      <c r="I112" s="206"/>
      <c r="J112" s="206"/>
      <c r="K112" s="209"/>
      <c r="L112" s="209"/>
      <c r="M112" s="233" t="s">
        <v>1365</v>
      </c>
      <c r="N112" s="233"/>
      <c r="O112" s="209">
        <v>0.35</v>
      </c>
      <c r="P112" s="13">
        <v>18</v>
      </c>
      <c r="Q112" s="18">
        <f t="shared" si="7"/>
        <v>6.3</v>
      </c>
      <c r="R112" s="209"/>
      <c r="S112" s="308">
        <f t="shared" si="8"/>
        <v>0</v>
      </c>
      <c r="T112" s="306">
        <f t="shared" si="9"/>
        <v>6.3</v>
      </c>
    </row>
    <row r="113" spans="1:20" x14ac:dyDescent="0.2">
      <c r="A113" s="302" t="s">
        <v>501</v>
      </c>
      <c r="B113" s="36" t="s">
        <v>571</v>
      </c>
      <c r="C113" s="1">
        <v>214</v>
      </c>
      <c r="D113" s="44"/>
      <c r="E113" s="36" t="s">
        <v>264</v>
      </c>
      <c r="F113" s="1" t="s">
        <v>308</v>
      </c>
      <c r="G113" s="1">
        <v>1</v>
      </c>
      <c r="H113" s="36">
        <v>0.62</v>
      </c>
      <c r="I113" s="36"/>
      <c r="J113" s="36"/>
      <c r="K113" s="201">
        <v>10</v>
      </c>
      <c r="L113" s="18"/>
      <c r="M113" s="102" t="s">
        <v>234</v>
      </c>
      <c r="N113" s="102"/>
      <c r="O113" s="18">
        <v>1.72</v>
      </c>
      <c r="P113" s="54">
        <f>'PRECIOS INSUMOS 2015'!C$5</f>
        <v>2</v>
      </c>
      <c r="Q113" s="18">
        <f t="shared" si="7"/>
        <v>3.44</v>
      </c>
      <c r="R113" s="18">
        <v>1.6129032258064517</v>
      </c>
      <c r="S113" s="308">
        <f t="shared" si="8"/>
        <v>129.03225806451613</v>
      </c>
      <c r="T113" s="306">
        <f t="shared" si="9"/>
        <v>132.47225806451613</v>
      </c>
    </row>
    <row r="114" spans="1:20" ht="13.5" thickBot="1" x14ac:dyDescent="0.25">
      <c r="A114" s="302" t="s">
        <v>502</v>
      </c>
      <c r="B114" s="206" t="s">
        <v>263</v>
      </c>
      <c r="C114" s="207">
        <v>221</v>
      </c>
      <c r="D114" s="304"/>
      <c r="E114" s="206" t="s">
        <v>264</v>
      </c>
      <c r="F114" s="207" t="s">
        <v>308</v>
      </c>
      <c r="G114" s="207">
        <v>1</v>
      </c>
      <c r="H114" s="206"/>
      <c r="I114" s="206"/>
      <c r="J114" s="206"/>
      <c r="K114" s="209"/>
      <c r="L114" s="209"/>
      <c r="M114" s="233" t="s">
        <v>1365</v>
      </c>
      <c r="N114" s="233"/>
      <c r="O114" s="209">
        <v>0.35</v>
      </c>
      <c r="P114" s="13">
        <v>18</v>
      </c>
      <c r="Q114" s="18">
        <f t="shared" si="7"/>
        <v>6.3</v>
      </c>
      <c r="R114" s="209"/>
      <c r="S114" s="308">
        <f t="shared" si="8"/>
        <v>0</v>
      </c>
      <c r="T114" s="306">
        <f t="shared" si="9"/>
        <v>6.3</v>
      </c>
    </row>
    <row r="115" spans="1:20" x14ac:dyDescent="0.2">
      <c r="A115" s="302" t="s">
        <v>503</v>
      </c>
      <c r="B115" s="36" t="s">
        <v>571</v>
      </c>
      <c r="C115" s="1">
        <v>221</v>
      </c>
      <c r="D115" s="44"/>
      <c r="E115" s="36" t="s">
        <v>264</v>
      </c>
      <c r="F115" s="1" t="s">
        <v>308</v>
      </c>
      <c r="G115" s="1">
        <v>1</v>
      </c>
      <c r="H115" s="36">
        <v>0.62</v>
      </c>
      <c r="I115" s="36"/>
      <c r="J115" s="36"/>
      <c r="K115" s="201">
        <v>10</v>
      </c>
      <c r="L115" s="18"/>
      <c r="M115" s="102" t="s">
        <v>234</v>
      </c>
      <c r="N115" s="102"/>
      <c r="O115" s="18">
        <v>1.72</v>
      </c>
      <c r="P115" s="54">
        <f>'PRECIOS INSUMOS 2015'!C$5</f>
        <v>2</v>
      </c>
      <c r="Q115" s="18">
        <f t="shared" si="7"/>
        <v>3.44</v>
      </c>
      <c r="R115" s="18">
        <v>1.6129032258064517</v>
      </c>
      <c r="S115" s="308">
        <f t="shared" si="8"/>
        <v>129.03225806451613</v>
      </c>
      <c r="T115" s="306">
        <f t="shared" si="9"/>
        <v>132.47225806451613</v>
      </c>
    </row>
    <row r="116" spans="1:20" ht="13.5" thickBot="1" x14ac:dyDescent="0.25">
      <c r="A116" s="302" t="s">
        <v>520</v>
      </c>
      <c r="B116" s="206" t="s">
        <v>263</v>
      </c>
      <c r="C116" s="207">
        <v>228</v>
      </c>
      <c r="D116" s="304"/>
      <c r="E116" s="206" t="s">
        <v>264</v>
      </c>
      <c r="F116" s="207" t="s">
        <v>308</v>
      </c>
      <c r="G116" s="207">
        <v>1</v>
      </c>
      <c r="H116" s="206"/>
      <c r="I116" s="206"/>
      <c r="J116" s="206"/>
      <c r="K116" s="209"/>
      <c r="L116" s="209"/>
      <c r="M116" s="233" t="s">
        <v>1365</v>
      </c>
      <c r="N116" s="233"/>
      <c r="O116" s="209">
        <v>0.35</v>
      </c>
      <c r="P116" s="13">
        <v>18</v>
      </c>
      <c r="Q116" s="18">
        <f t="shared" ref="Q116:Q144" si="10">P116*O116</f>
        <v>6.3</v>
      </c>
      <c r="R116" s="209"/>
      <c r="S116" s="308">
        <f t="shared" si="8"/>
        <v>0</v>
      </c>
      <c r="T116" s="306">
        <f t="shared" si="9"/>
        <v>6.3</v>
      </c>
    </row>
    <row r="117" spans="1:20" x14ac:dyDescent="0.2">
      <c r="A117" s="302" t="s">
        <v>538</v>
      </c>
      <c r="B117" s="36" t="s">
        <v>571</v>
      </c>
      <c r="C117" s="1">
        <v>228</v>
      </c>
      <c r="D117" s="44"/>
      <c r="E117" s="36" t="s">
        <v>264</v>
      </c>
      <c r="F117" s="1" t="s">
        <v>308</v>
      </c>
      <c r="G117" s="1">
        <v>1</v>
      </c>
      <c r="H117" s="36">
        <v>0.62</v>
      </c>
      <c r="I117" s="36"/>
      <c r="J117" s="36"/>
      <c r="K117" s="201">
        <v>10</v>
      </c>
      <c r="L117" s="18"/>
      <c r="M117" s="102" t="s">
        <v>234</v>
      </c>
      <c r="N117" s="102"/>
      <c r="O117" s="18">
        <v>1.72</v>
      </c>
      <c r="P117" s="54">
        <f>'PRECIOS INSUMOS 2015'!C$5</f>
        <v>2</v>
      </c>
      <c r="Q117" s="18">
        <f t="shared" si="10"/>
        <v>3.44</v>
      </c>
      <c r="R117" s="18">
        <v>1.6129032258064517</v>
      </c>
      <c r="S117" s="308">
        <f t="shared" si="8"/>
        <v>129.03225806451613</v>
      </c>
      <c r="T117" s="306">
        <f t="shared" si="9"/>
        <v>132.47225806451613</v>
      </c>
    </row>
    <row r="118" spans="1:20" ht="13.5" thickBot="1" x14ac:dyDescent="0.25">
      <c r="A118" s="302" t="s">
        <v>539</v>
      </c>
      <c r="B118" s="206" t="s">
        <v>263</v>
      </c>
      <c r="C118" s="207">
        <v>235</v>
      </c>
      <c r="D118" s="304"/>
      <c r="E118" s="206" t="s">
        <v>264</v>
      </c>
      <c r="F118" s="207" t="s">
        <v>308</v>
      </c>
      <c r="G118" s="207">
        <v>1</v>
      </c>
      <c r="H118" s="206"/>
      <c r="I118" s="206"/>
      <c r="J118" s="206"/>
      <c r="K118" s="209"/>
      <c r="L118" s="209"/>
      <c r="M118" s="233" t="s">
        <v>1365</v>
      </c>
      <c r="N118" s="233"/>
      <c r="O118" s="209">
        <v>0.35</v>
      </c>
      <c r="P118" s="13">
        <v>18</v>
      </c>
      <c r="Q118" s="18">
        <f t="shared" si="10"/>
        <v>6.3</v>
      </c>
      <c r="R118" s="209"/>
      <c r="S118" s="308">
        <f t="shared" si="8"/>
        <v>0</v>
      </c>
      <c r="T118" s="306">
        <f t="shared" si="9"/>
        <v>6.3</v>
      </c>
    </row>
    <row r="119" spans="1:20" x14ac:dyDescent="0.2">
      <c r="A119" s="302" t="s">
        <v>504</v>
      </c>
      <c r="B119" s="36" t="s">
        <v>571</v>
      </c>
      <c r="C119" s="1">
        <v>235</v>
      </c>
      <c r="D119" s="44"/>
      <c r="E119" s="36" t="s">
        <v>264</v>
      </c>
      <c r="F119" s="1" t="s">
        <v>308</v>
      </c>
      <c r="G119" s="1">
        <v>1</v>
      </c>
      <c r="H119" s="36">
        <v>0.62</v>
      </c>
      <c r="I119" s="36"/>
      <c r="J119" s="36"/>
      <c r="K119" s="201">
        <v>10</v>
      </c>
      <c r="L119" s="18"/>
      <c r="M119" s="102" t="s">
        <v>234</v>
      </c>
      <c r="N119" s="102"/>
      <c r="O119" s="18">
        <v>1.72</v>
      </c>
      <c r="P119" s="54">
        <f>'PRECIOS INSUMOS 2015'!C$5</f>
        <v>2</v>
      </c>
      <c r="Q119" s="18">
        <f t="shared" si="10"/>
        <v>3.44</v>
      </c>
      <c r="R119" s="18">
        <v>1.6129032258064517</v>
      </c>
      <c r="S119" s="308">
        <f t="shared" si="8"/>
        <v>129.03225806451613</v>
      </c>
      <c r="T119" s="306">
        <f t="shared" si="9"/>
        <v>132.47225806451613</v>
      </c>
    </row>
    <row r="120" spans="1:20" ht="13.5" thickBot="1" x14ac:dyDescent="0.25">
      <c r="A120" s="302" t="s">
        <v>540</v>
      </c>
      <c r="B120" s="206" t="s">
        <v>263</v>
      </c>
      <c r="C120" s="207">
        <v>242</v>
      </c>
      <c r="D120" s="304"/>
      <c r="E120" s="206" t="s">
        <v>264</v>
      </c>
      <c r="F120" s="207" t="s">
        <v>308</v>
      </c>
      <c r="G120" s="207">
        <v>1</v>
      </c>
      <c r="H120" s="206"/>
      <c r="I120" s="206"/>
      <c r="J120" s="206"/>
      <c r="K120" s="209"/>
      <c r="L120" s="209"/>
      <c r="M120" s="233" t="s">
        <v>1365</v>
      </c>
      <c r="N120" s="233"/>
      <c r="O120" s="209">
        <v>0.35</v>
      </c>
      <c r="P120" s="13">
        <v>18</v>
      </c>
      <c r="Q120" s="18">
        <f t="shared" si="10"/>
        <v>6.3</v>
      </c>
      <c r="R120" s="209"/>
      <c r="S120" s="308">
        <f t="shared" si="8"/>
        <v>0</v>
      </c>
      <c r="T120" s="306">
        <f t="shared" si="9"/>
        <v>6.3</v>
      </c>
    </row>
    <row r="121" spans="1:20" x14ac:dyDescent="0.2">
      <c r="A121" s="302" t="s">
        <v>521</v>
      </c>
      <c r="B121" s="36" t="s">
        <v>571</v>
      </c>
      <c r="C121" s="1">
        <v>242</v>
      </c>
      <c r="D121" s="44"/>
      <c r="E121" s="36" t="s">
        <v>264</v>
      </c>
      <c r="F121" s="1" t="s">
        <v>308</v>
      </c>
      <c r="G121" s="1">
        <v>1</v>
      </c>
      <c r="H121" s="36">
        <v>0.62</v>
      </c>
      <c r="I121" s="36"/>
      <c r="J121" s="36"/>
      <c r="K121" s="201">
        <v>10</v>
      </c>
      <c r="L121" s="18"/>
      <c r="M121" s="102" t="s">
        <v>234</v>
      </c>
      <c r="N121" s="102"/>
      <c r="O121" s="18">
        <v>1.72</v>
      </c>
      <c r="P121" s="54">
        <f>'PRECIOS INSUMOS 2015'!C$5</f>
        <v>2</v>
      </c>
      <c r="Q121" s="18">
        <f t="shared" si="10"/>
        <v>3.44</v>
      </c>
      <c r="R121" s="18">
        <v>1.6129032258064517</v>
      </c>
      <c r="S121" s="308">
        <f t="shared" si="8"/>
        <v>129.03225806451613</v>
      </c>
      <c r="T121" s="306">
        <f t="shared" si="9"/>
        <v>132.47225806451613</v>
      </c>
    </row>
    <row r="122" spans="1:20" ht="13.5" thickBot="1" x14ac:dyDescent="0.25">
      <c r="A122" s="302" t="s">
        <v>541</v>
      </c>
      <c r="B122" s="206" t="s">
        <v>263</v>
      </c>
      <c r="C122" s="207">
        <v>249</v>
      </c>
      <c r="D122" s="304"/>
      <c r="E122" s="206" t="s">
        <v>264</v>
      </c>
      <c r="F122" s="207" t="s">
        <v>308</v>
      </c>
      <c r="G122" s="207">
        <v>1</v>
      </c>
      <c r="H122" s="206"/>
      <c r="I122" s="206"/>
      <c r="J122" s="206"/>
      <c r="K122" s="209"/>
      <c r="L122" s="209"/>
      <c r="M122" s="233" t="s">
        <v>1365</v>
      </c>
      <c r="N122" s="233"/>
      <c r="O122" s="209">
        <v>0.35</v>
      </c>
      <c r="P122" s="13">
        <v>18</v>
      </c>
      <c r="Q122" s="18">
        <f t="shared" si="10"/>
        <v>6.3</v>
      </c>
      <c r="R122" s="209"/>
      <c r="S122" s="308">
        <f t="shared" si="8"/>
        <v>0</v>
      </c>
      <c r="T122" s="306">
        <f t="shared" si="9"/>
        <v>6.3</v>
      </c>
    </row>
    <row r="123" spans="1:20" x14ac:dyDescent="0.2">
      <c r="A123" s="302" t="s">
        <v>542</v>
      </c>
      <c r="B123" s="36" t="s">
        <v>571</v>
      </c>
      <c r="C123" s="1">
        <v>249</v>
      </c>
      <c r="D123" s="44"/>
      <c r="E123" s="36" t="s">
        <v>264</v>
      </c>
      <c r="F123" s="1" t="s">
        <v>308</v>
      </c>
      <c r="G123" s="1">
        <v>1</v>
      </c>
      <c r="H123" s="36">
        <v>0.62</v>
      </c>
      <c r="I123" s="36"/>
      <c r="J123" s="36"/>
      <c r="K123" s="201">
        <v>10</v>
      </c>
      <c r="L123" s="18"/>
      <c r="M123" s="102" t="s">
        <v>234</v>
      </c>
      <c r="N123" s="102"/>
      <c r="O123" s="18">
        <v>1.72</v>
      </c>
      <c r="P123" s="54">
        <f>'PRECIOS INSUMOS 2015'!C$5</f>
        <v>2</v>
      </c>
      <c r="Q123" s="18">
        <f t="shared" si="10"/>
        <v>3.44</v>
      </c>
      <c r="R123" s="18">
        <v>1.6129032258064517</v>
      </c>
      <c r="S123" s="308">
        <f t="shared" si="8"/>
        <v>129.03225806451613</v>
      </c>
      <c r="T123" s="306">
        <f t="shared" si="9"/>
        <v>132.47225806451613</v>
      </c>
    </row>
    <row r="124" spans="1:20" ht="13.5" thickBot="1" x14ac:dyDescent="0.25">
      <c r="A124" s="302" t="s">
        <v>543</v>
      </c>
      <c r="B124" s="206" t="s">
        <v>263</v>
      </c>
      <c r="C124" s="207">
        <v>256</v>
      </c>
      <c r="D124" s="304"/>
      <c r="E124" s="206" t="s">
        <v>264</v>
      </c>
      <c r="F124" s="207" t="s">
        <v>308</v>
      </c>
      <c r="G124" s="207">
        <v>1</v>
      </c>
      <c r="H124" s="206"/>
      <c r="I124" s="206"/>
      <c r="J124" s="206"/>
      <c r="K124" s="209"/>
      <c r="L124" s="209"/>
      <c r="M124" s="233" t="s">
        <v>1365</v>
      </c>
      <c r="N124" s="233"/>
      <c r="O124" s="209">
        <v>0.35</v>
      </c>
      <c r="P124" s="13">
        <v>18</v>
      </c>
      <c r="Q124" s="18">
        <f t="shared" si="10"/>
        <v>6.3</v>
      </c>
      <c r="R124" s="209"/>
      <c r="S124" s="308">
        <f t="shared" si="8"/>
        <v>0</v>
      </c>
      <c r="T124" s="306">
        <f t="shared" ref="T124:T151" si="11">S124+Q124</f>
        <v>6.3</v>
      </c>
    </row>
    <row r="125" spans="1:20" x14ac:dyDescent="0.2">
      <c r="A125" s="302" t="s">
        <v>505</v>
      </c>
      <c r="B125" s="36" t="s">
        <v>571</v>
      </c>
      <c r="C125" s="1">
        <v>256</v>
      </c>
      <c r="D125" s="44"/>
      <c r="E125" s="36" t="s">
        <v>264</v>
      </c>
      <c r="F125" s="1" t="s">
        <v>308</v>
      </c>
      <c r="G125" s="1">
        <v>1</v>
      </c>
      <c r="H125" s="36">
        <v>0.62</v>
      </c>
      <c r="I125" s="36"/>
      <c r="J125" s="36"/>
      <c r="K125" s="201">
        <v>10</v>
      </c>
      <c r="L125" s="18"/>
      <c r="M125" s="102" t="s">
        <v>234</v>
      </c>
      <c r="N125" s="102"/>
      <c r="O125" s="18">
        <v>1.72</v>
      </c>
      <c r="P125" s="54">
        <f>'PRECIOS INSUMOS 2015'!C$5</f>
        <v>2</v>
      </c>
      <c r="Q125" s="18">
        <f t="shared" si="10"/>
        <v>3.44</v>
      </c>
      <c r="R125" s="18">
        <v>1.6129032258064517</v>
      </c>
      <c r="S125" s="308">
        <f t="shared" si="8"/>
        <v>129.03225806451613</v>
      </c>
      <c r="T125" s="306">
        <f t="shared" si="11"/>
        <v>132.47225806451613</v>
      </c>
    </row>
    <row r="126" spans="1:20" ht="13.5" thickBot="1" x14ac:dyDescent="0.25">
      <c r="A126" s="302" t="s">
        <v>544</v>
      </c>
      <c r="B126" s="206" t="s">
        <v>263</v>
      </c>
      <c r="C126" s="207">
        <v>263</v>
      </c>
      <c r="D126" s="304"/>
      <c r="E126" s="206" t="s">
        <v>264</v>
      </c>
      <c r="F126" s="207" t="s">
        <v>308</v>
      </c>
      <c r="G126" s="207">
        <v>1</v>
      </c>
      <c r="H126" s="206"/>
      <c r="I126" s="206"/>
      <c r="J126" s="206"/>
      <c r="K126" s="209"/>
      <c r="L126" s="209"/>
      <c r="M126" s="233" t="s">
        <v>1365</v>
      </c>
      <c r="N126" s="233"/>
      <c r="O126" s="209">
        <v>0.35</v>
      </c>
      <c r="P126" s="13">
        <v>18</v>
      </c>
      <c r="Q126" s="18">
        <f t="shared" si="10"/>
        <v>6.3</v>
      </c>
      <c r="R126" s="209"/>
      <c r="S126" s="308">
        <f t="shared" ref="S126:S148" si="12">(K126+L126)*R126*8</f>
        <v>0</v>
      </c>
      <c r="T126" s="306">
        <f t="shared" si="11"/>
        <v>6.3</v>
      </c>
    </row>
    <row r="127" spans="1:20" x14ac:dyDescent="0.2">
      <c r="A127" s="302" t="s">
        <v>545</v>
      </c>
      <c r="B127" s="36" t="s">
        <v>571</v>
      </c>
      <c r="C127" s="1">
        <v>263</v>
      </c>
      <c r="D127" s="44"/>
      <c r="E127" s="36" t="s">
        <v>264</v>
      </c>
      <c r="F127" s="1" t="s">
        <v>308</v>
      </c>
      <c r="G127" s="1">
        <v>1</v>
      </c>
      <c r="H127" s="36">
        <v>0.62</v>
      </c>
      <c r="I127" s="36"/>
      <c r="J127" s="36"/>
      <c r="K127" s="201">
        <v>10</v>
      </c>
      <c r="L127" s="18"/>
      <c r="M127" s="102" t="s">
        <v>234</v>
      </c>
      <c r="N127" s="102"/>
      <c r="O127" s="18">
        <v>1.72</v>
      </c>
      <c r="P127" s="54">
        <f>'PRECIOS INSUMOS 2015'!C$5</f>
        <v>2</v>
      </c>
      <c r="Q127" s="18">
        <f t="shared" si="10"/>
        <v>3.44</v>
      </c>
      <c r="R127" s="18">
        <v>1.6129032258064517</v>
      </c>
      <c r="S127" s="308">
        <f t="shared" si="12"/>
        <v>129.03225806451613</v>
      </c>
      <c r="T127" s="306">
        <f t="shared" si="11"/>
        <v>132.47225806451613</v>
      </c>
    </row>
    <row r="128" spans="1:20" ht="13.5" thickBot="1" x14ac:dyDescent="0.25">
      <c r="A128" s="302" t="s">
        <v>522</v>
      </c>
      <c r="B128" s="206" t="s">
        <v>263</v>
      </c>
      <c r="C128" s="207">
        <v>270</v>
      </c>
      <c r="D128" s="304"/>
      <c r="E128" s="206" t="s">
        <v>264</v>
      </c>
      <c r="F128" s="207" t="s">
        <v>308</v>
      </c>
      <c r="G128" s="207">
        <v>1</v>
      </c>
      <c r="H128" s="206"/>
      <c r="I128" s="206"/>
      <c r="J128" s="206"/>
      <c r="K128" s="209"/>
      <c r="L128" s="209"/>
      <c r="M128" s="233" t="s">
        <v>1365</v>
      </c>
      <c r="N128" s="233"/>
      <c r="O128" s="209">
        <v>0.35</v>
      </c>
      <c r="P128" s="13">
        <v>18</v>
      </c>
      <c r="Q128" s="18">
        <f t="shared" si="10"/>
        <v>6.3</v>
      </c>
      <c r="R128" s="209"/>
      <c r="S128" s="308">
        <f t="shared" si="12"/>
        <v>0</v>
      </c>
      <c r="T128" s="306">
        <f t="shared" si="11"/>
        <v>6.3</v>
      </c>
    </row>
    <row r="129" spans="1:20" x14ac:dyDescent="0.2">
      <c r="A129" s="302" t="s">
        <v>546</v>
      </c>
      <c r="B129" s="36" t="s">
        <v>571</v>
      </c>
      <c r="C129" s="1">
        <v>270</v>
      </c>
      <c r="D129" s="44"/>
      <c r="E129" s="36" t="s">
        <v>264</v>
      </c>
      <c r="F129" s="1" t="s">
        <v>308</v>
      </c>
      <c r="G129" s="1">
        <v>1</v>
      </c>
      <c r="H129" s="36">
        <v>0.62</v>
      </c>
      <c r="I129" s="36"/>
      <c r="J129" s="36"/>
      <c r="K129" s="201">
        <v>10</v>
      </c>
      <c r="L129" s="18"/>
      <c r="M129" s="102" t="s">
        <v>234</v>
      </c>
      <c r="N129" s="102"/>
      <c r="O129" s="18">
        <v>1.72</v>
      </c>
      <c r="P129" s="54">
        <f>'PRECIOS INSUMOS 2015'!C$5</f>
        <v>2</v>
      </c>
      <c r="Q129" s="18">
        <f t="shared" si="10"/>
        <v>3.44</v>
      </c>
      <c r="R129" s="18">
        <v>1.6129032258064517</v>
      </c>
      <c r="S129" s="308">
        <f t="shared" si="12"/>
        <v>129.03225806451613</v>
      </c>
      <c r="T129" s="306">
        <f t="shared" si="11"/>
        <v>132.47225806451613</v>
      </c>
    </row>
    <row r="130" spans="1:20" ht="13.5" thickBot="1" x14ac:dyDescent="0.25">
      <c r="A130" s="302" t="s">
        <v>547</v>
      </c>
      <c r="B130" s="206" t="s">
        <v>263</v>
      </c>
      <c r="C130" s="207">
        <v>277</v>
      </c>
      <c r="D130" s="304"/>
      <c r="E130" s="206" t="s">
        <v>264</v>
      </c>
      <c r="F130" s="207" t="s">
        <v>308</v>
      </c>
      <c r="G130" s="207">
        <v>1</v>
      </c>
      <c r="H130" s="206"/>
      <c r="I130" s="206"/>
      <c r="J130" s="206"/>
      <c r="K130" s="209"/>
      <c r="L130" s="209"/>
      <c r="M130" s="233" t="s">
        <v>1365</v>
      </c>
      <c r="N130" s="233"/>
      <c r="O130" s="209">
        <v>0.35</v>
      </c>
      <c r="P130" s="13">
        <v>18</v>
      </c>
      <c r="Q130" s="18">
        <f t="shared" si="10"/>
        <v>6.3</v>
      </c>
      <c r="R130" s="209"/>
      <c r="S130" s="308">
        <f t="shared" si="12"/>
        <v>0</v>
      </c>
      <c r="T130" s="306">
        <f t="shared" si="11"/>
        <v>6.3</v>
      </c>
    </row>
    <row r="131" spans="1:20" x14ac:dyDescent="0.2">
      <c r="A131" s="302" t="s">
        <v>506</v>
      </c>
      <c r="B131" s="36" t="s">
        <v>571</v>
      </c>
      <c r="C131" s="1">
        <v>277</v>
      </c>
      <c r="D131" s="44"/>
      <c r="E131" s="36" t="s">
        <v>264</v>
      </c>
      <c r="F131" s="1" t="s">
        <v>308</v>
      </c>
      <c r="G131" s="1">
        <v>1</v>
      </c>
      <c r="H131" s="36">
        <v>0.62</v>
      </c>
      <c r="I131" s="36"/>
      <c r="J131" s="36"/>
      <c r="K131" s="201">
        <v>10</v>
      </c>
      <c r="L131" s="18"/>
      <c r="M131" s="102" t="s">
        <v>234</v>
      </c>
      <c r="N131" s="102"/>
      <c r="O131" s="18">
        <v>1.72</v>
      </c>
      <c r="P131" s="54">
        <f>'PRECIOS INSUMOS 2015'!C$5</f>
        <v>2</v>
      </c>
      <c r="Q131" s="18">
        <f t="shared" si="10"/>
        <v>3.44</v>
      </c>
      <c r="R131" s="18">
        <v>1.6129032258064517</v>
      </c>
      <c r="S131" s="308">
        <f t="shared" si="12"/>
        <v>129.03225806451613</v>
      </c>
      <c r="T131" s="306">
        <f t="shared" si="11"/>
        <v>132.47225806451613</v>
      </c>
    </row>
    <row r="132" spans="1:20" ht="13.5" thickBot="1" x14ac:dyDescent="0.25">
      <c r="A132" s="302" t="s">
        <v>508</v>
      </c>
      <c r="B132" s="206" t="s">
        <v>263</v>
      </c>
      <c r="C132" s="207">
        <v>284</v>
      </c>
      <c r="D132" s="304"/>
      <c r="E132" s="206" t="s">
        <v>264</v>
      </c>
      <c r="F132" s="207" t="s">
        <v>308</v>
      </c>
      <c r="G132" s="207">
        <v>1</v>
      </c>
      <c r="H132" s="206"/>
      <c r="I132" s="206"/>
      <c r="J132" s="206"/>
      <c r="K132" s="209"/>
      <c r="L132" s="209"/>
      <c r="M132" s="233" t="s">
        <v>1365</v>
      </c>
      <c r="N132" s="233"/>
      <c r="O132" s="209">
        <v>0.35</v>
      </c>
      <c r="P132" s="13">
        <v>18</v>
      </c>
      <c r="Q132" s="18">
        <f t="shared" si="10"/>
        <v>6.3</v>
      </c>
      <c r="R132" s="209"/>
      <c r="S132" s="308">
        <f t="shared" si="12"/>
        <v>0</v>
      </c>
      <c r="T132" s="306">
        <f t="shared" si="11"/>
        <v>6.3</v>
      </c>
    </row>
    <row r="133" spans="1:20" x14ac:dyDescent="0.2">
      <c r="A133" s="302" t="s">
        <v>548</v>
      </c>
      <c r="B133" s="36" t="s">
        <v>571</v>
      </c>
      <c r="C133" s="1">
        <v>284</v>
      </c>
      <c r="D133" s="44"/>
      <c r="E133" s="36" t="s">
        <v>264</v>
      </c>
      <c r="F133" s="1" t="s">
        <v>308</v>
      </c>
      <c r="G133" s="1">
        <v>1</v>
      </c>
      <c r="H133" s="36">
        <v>0.62</v>
      </c>
      <c r="I133" s="36"/>
      <c r="J133" s="36"/>
      <c r="K133" s="201">
        <v>10</v>
      </c>
      <c r="L133" s="18"/>
      <c r="M133" s="102" t="s">
        <v>234</v>
      </c>
      <c r="N133" s="102"/>
      <c r="O133" s="18">
        <v>1.72</v>
      </c>
      <c r="P133" s="54">
        <f>'PRECIOS INSUMOS 2015'!C$5</f>
        <v>2</v>
      </c>
      <c r="Q133" s="18">
        <f t="shared" si="10"/>
        <v>3.44</v>
      </c>
      <c r="R133" s="18">
        <v>1.6129032258064517</v>
      </c>
      <c r="S133" s="308">
        <f t="shared" si="12"/>
        <v>129.03225806451613</v>
      </c>
      <c r="T133" s="306">
        <f t="shared" si="11"/>
        <v>132.47225806451613</v>
      </c>
    </row>
    <row r="134" spans="1:20" ht="13.5" thickBot="1" x14ac:dyDescent="0.25">
      <c r="A134" s="302" t="s">
        <v>575</v>
      </c>
      <c r="B134" s="206" t="s">
        <v>263</v>
      </c>
      <c r="C134" s="207">
        <v>291</v>
      </c>
      <c r="D134" s="304"/>
      <c r="E134" s="206" t="s">
        <v>264</v>
      </c>
      <c r="F134" s="207" t="s">
        <v>308</v>
      </c>
      <c r="G134" s="207">
        <v>1</v>
      </c>
      <c r="H134" s="206"/>
      <c r="I134" s="206"/>
      <c r="J134" s="206"/>
      <c r="K134" s="209"/>
      <c r="L134" s="209"/>
      <c r="M134" s="233" t="s">
        <v>1365</v>
      </c>
      <c r="N134" s="233"/>
      <c r="O134" s="209">
        <v>0.35</v>
      </c>
      <c r="P134" s="13">
        <v>18</v>
      </c>
      <c r="Q134" s="18">
        <f t="shared" si="10"/>
        <v>6.3</v>
      </c>
      <c r="R134" s="209"/>
      <c r="S134" s="308">
        <f t="shared" si="12"/>
        <v>0</v>
      </c>
      <c r="T134" s="306">
        <f t="shared" si="11"/>
        <v>6.3</v>
      </c>
    </row>
    <row r="135" spans="1:20" x14ac:dyDescent="0.2">
      <c r="A135" s="302" t="s">
        <v>576</v>
      </c>
      <c r="B135" s="36" t="s">
        <v>571</v>
      </c>
      <c r="C135" s="1">
        <v>291</v>
      </c>
      <c r="D135" s="44"/>
      <c r="E135" s="36" t="s">
        <v>264</v>
      </c>
      <c r="F135" s="1" t="s">
        <v>308</v>
      </c>
      <c r="G135" s="1">
        <v>1</v>
      </c>
      <c r="H135" s="36">
        <v>0.62</v>
      </c>
      <c r="I135" s="36"/>
      <c r="J135" s="36"/>
      <c r="K135" s="201">
        <v>10</v>
      </c>
      <c r="L135" s="18"/>
      <c r="M135" s="102" t="s">
        <v>234</v>
      </c>
      <c r="N135" s="102"/>
      <c r="O135" s="18">
        <v>1.72</v>
      </c>
      <c r="P135" s="54">
        <f>'PRECIOS INSUMOS 2015'!C$5</f>
        <v>2</v>
      </c>
      <c r="Q135" s="18">
        <f t="shared" si="10"/>
        <v>3.44</v>
      </c>
      <c r="R135" s="18">
        <v>1.6129032258064517</v>
      </c>
      <c r="S135" s="308">
        <f t="shared" si="12"/>
        <v>129.03225806451613</v>
      </c>
      <c r="T135" s="306">
        <f t="shared" si="11"/>
        <v>132.47225806451613</v>
      </c>
    </row>
    <row r="136" spans="1:20" ht="13.5" thickBot="1" x14ac:dyDescent="0.25">
      <c r="A136" s="302" t="s">
        <v>577</v>
      </c>
      <c r="B136" s="206" t="s">
        <v>263</v>
      </c>
      <c r="C136" s="207">
        <v>298</v>
      </c>
      <c r="D136" s="304"/>
      <c r="E136" s="206" t="s">
        <v>264</v>
      </c>
      <c r="F136" s="207" t="s">
        <v>308</v>
      </c>
      <c r="G136" s="207">
        <v>1</v>
      </c>
      <c r="H136" s="206"/>
      <c r="I136" s="206"/>
      <c r="J136" s="206"/>
      <c r="K136" s="209"/>
      <c r="L136" s="209"/>
      <c r="M136" s="233" t="s">
        <v>1365</v>
      </c>
      <c r="N136" s="233"/>
      <c r="O136" s="209">
        <v>0.35</v>
      </c>
      <c r="P136" s="13">
        <v>18</v>
      </c>
      <c r="Q136" s="18">
        <f t="shared" si="10"/>
        <v>6.3</v>
      </c>
      <c r="R136" s="209"/>
      <c r="S136" s="308">
        <f t="shared" si="12"/>
        <v>0</v>
      </c>
      <c r="T136" s="306">
        <f t="shared" si="11"/>
        <v>6.3</v>
      </c>
    </row>
    <row r="137" spans="1:20" ht="13.5" thickBot="1" x14ac:dyDescent="0.25">
      <c r="A137" s="302" t="s">
        <v>578</v>
      </c>
      <c r="B137" s="36" t="s">
        <v>571</v>
      </c>
      <c r="C137" s="1">
        <v>298</v>
      </c>
      <c r="D137" s="44"/>
      <c r="E137" s="36" t="s">
        <v>264</v>
      </c>
      <c r="F137" s="1" t="s">
        <v>308</v>
      </c>
      <c r="G137" s="1">
        <v>1</v>
      </c>
      <c r="H137" s="36">
        <v>0.62</v>
      </c>
      <c r="I137" s="36"/>
      <c r="J137" s="36"/>
      <c r="K137" s="201">
        <v>10</v>
      </c>
      <c r="L137" s="18"/>
      <c r="M137" s="102" t="s">
        <v>234</v>
      </c>
      <c r="N137" s="102"/>
      <c r="O137" s="18">
        <v>1.72</v>
      </c>
      <c r="P137" s="54">
        <f>'PRECIOS INSUMOS 2015'!C$5</f>
        <v>2</v>
      </c>
      <c r="Q137" s="18">
        <f t="shared" si="10"/>
        <v>3.44</v>
      </c>
      <c r="R137" s="18">
        <v>1.6129032258064517</v>
      </c>
      <c r="S137" s="308">
        <f t="shared" si="12"/>
        <v>129.03225806451613</v>
      </c>
      <c r="T137" s="306">
        <f t="shared" si="11"/>
        <v>132.47225806451613</v>
      </c>
    </row>
    <row r="138" spans="1:20" x14ac:dyDescent="0.2">
      <c r="A138" s="302" t="s">
        <v>579</v>
      </c>
      <c r="B138" s="211" t="s">
        <v>394</v>
      </c>
      <c r="C138" s="207">
        <v>325</v>
      </c>
      <c r="D138" s="304" t="s">
        <v>257</v>
      </c>
      <c r="E138" s="206" t="s">
        <v>303</v>
      </c>
      <c r="F138" s="207" t="s">
        <v>291</v>
      </c>
      <c r="G138" s="207">
        <v>1</v>
      </c>
      <c r="H138" s="206">
        <v>0.5</v>
      </c>
      <c r="I138" s="206"/>
      <c r="J138" s="206"/>
      <c r="K138" s="201">
        <v>10</v>
      </c>
      <c r="L138" s="209"/>
      <c r="M138" s="233" t="s">
        <v>286</v>
      </c>
      <c r="N138" s="233"/>
      <c r="O138" s="209">
        <v>4</v>
      </c>
      <c r="P138" s="13">
        <f>'PRECIOS INSUMOS 2015'!C100</f>
        <v>15</v>
      </c>
      <c r="Q138" s="18">
        <f t="shared" si="10"/>
        <v>60</v>
      </c>
      <c r="R138" s="209">
        <f>G138/H138</f>
        <v>2</v>
      </c>
      <c r="S138" s="308">
        <f t="shared" si="12"/>
        <v>160</v>
      </c>
      <c r="T138" s="306">
        <f t="shared" si="11"/>
        <v>220</v>
      </c>
    </row>
    <row r="139" spans="1:20" ht="13.5" thickBot="1" x14ac:dyDescent="0.25">
      <c r="A139" s="302" t="s">
        <v>580</v>
      </c>
      <c r="B139" s="211" t="s">
        <v>394</v>
      </c>
      <c r="C139" s="207">
        <v>325</v>
      </c>
      <c r="D139" s="304" t="s">
        <v>257</v>
      </c>
      <c r="E139" s="206" t="s">
        <v>303</v>
      </c>
      <c r="F139" s="207" t="s">
        <v>291</v>
      </c>
      <c r="G139" s="207">
        <v>1</v>
      </c>
      <c r="H139" s="206"/>
      <c r="I139" s="206"/>
      <c r="J139" s="206"/>
      <c r="K139" s="209"/>
      <c r="L139" s="209"/>
      <c r="M139" s="233" t="s">
        <v>450</v>
      </c>
      <c r="N139" s="233"/>
      <c r="O139" s="209">
        <v>2</v>
      </c>
      <c r="P139" s="13">
        <f>'PRECIOS INSUMOS 2015'!C92</f>
        <v>30</v>
      </c>
      <c r="Q139" s="18">
        <f t="shared" si="10"/>
        <v>60</v>
      </c>
      <c r="R139" s="209"/>
      <c r="S139" s="308">
        <f t="shared" si="12"/>
        <v>0</v>
      </c>
      <c r="T139" s="306">
        <f t="shared" si="11"/>
        <v>60</v>
      </c>
    </row>
    <row r="140" spans="1:20" x14ac:dyDescent="0.2">
      <c r="A140" s="302" t="s">
        <v>581</v>
      </c>
      <c r="B140" s="211" t="s">
        <v>394</v>
      </c>
      <c r="C140" s="207">
        <v>325</v>
      </c>
      <c r="D140" s="304" t="s">
        <v>257</v>
      </c>
      <c r="E140" s="206" t="s">
        <v>303</v>
      </c>
      <c r="F140" s="207" t="s">
        <v>308</v>
      </c>
      <c r="G140" s="207">
        <v>1</v>
      </c>
      <c r="H140" s="206"/>
      <c r="I140" s="206"/>
      <c r="J140" s="206"/>
      <c r="K140" s="209"/>
      <c r="L140" s="209"/>
      <c r="M140" s="233" t="s">
        <v>234</v>
      </c>
      <c r="N140" s="233"/>
      <c r="O140" s="209">
        <v>3.43</v>
      </c>
      <c r="P140" s="54">
        <f>'PRECIOS INSUMOS 2015'!C$5</f>
        <v>2</v>
      </c>
      <c r="Q140" s="18">
        <f t="shared" si="10"/>
        <v>6.86</v>
      </c>
      <c r="R140" s="209"/>
      <c r="S140" s="308">
        <f t="shared" si="12"/>
        <v>0</v>
      </c>
      <c r="T140" s="306">
        <f t="shared" si="11"/>
        <v>6.86</v>
      </c>
    </row>
    <row r="141" spans="1:20" ht="13.5" thickBot="1" x14ac:dyDescent="0.25">
      <c r="A141" s="302" t="s">
        <v>582</v>
      </c>
      <c r="B141" s="206" t="s">
        <v>263</v>
      </c>
      <c r="C141" s="207">
        <v>327</v>
      </c>
      <c r="D141" s="304"/>
      <c r="E141" s="206" t="s">
        <v>264</v>
      </c>
      <c r="F141" s="207" t="s">
        <v>308</v>
      </c>
      <c r="G141" s="207">
        <v>1</v>
      </c>
      <c r="H141" s="206"/>
      <c r="I141" s="206"/>
      <c r="J141" s="206"/>
      <c r="K141" s="209"/>
      <c r="L141" s="209"/>
      <c r="M141" s="233" t="s">
        <v>1365</v>
      </c>
      <c r="N141" s="233"/>
      <c r="O141" s="209">
        <v>0.35</v>
      </c>
      <c r="P141" s="13">
        <v>18</v>
      </c>
      <c r="Q141" s="18">
        <f t="shared" si="10"/>
        <v>6.3</v>
      </c>
      <c r="R141" s="209"/>
      <c r="S141" s="308">
        <f t="shared" si="12"/>
        <v>0</v>
      </c>
      <c r="T141" s="306">
        <f t="shared" si="11"/>
        <v>6.3</v>
      </c>
    </row>
    <row r="142" spans="1:20" ht="13.5" thickBot="1" x14ac:dyDescent="0.25">
      <c r="A142" s="302" t="s">
        <v>583</v>
      </c>
      <c r="B142" s="36" t="s">
        <v>571</v>
      </c>
      <c r="C142" s="1">
        <v>327</v>
      </c>
      <c r="D142" s="44"/>
      <c r="E142" s="36" t="s">
        <v>264</v>
      </c>
      <c r="F142" s="1" t="s">
        <v>308</v>
      </c>
      <c r="G142" s="1">
        <v>1</v>
      </c>
      <c r="H142" s="36">
        <v>0.62</v>
      </c>
      <c r="I142" s="36"/>
      <c r="J142" s="36"/>
      <c r="K142" s="201">
        <v>10</v>
      </c>
      <c r="L142" s="18"/>
      <c r="M142" s="102" t="s">
        <v>234</v>
      </c>
      <c r="N142" s="102"/>
      <c r="O142" s="18">
        <v>1.72</v>
      </c>
      <c r="P142" s="54">
        <f>'PRECIOS INSUMOS 2015'!C$5</f>
        <v>2</v>
      </c>
      <c r="Q142" s="18">
        <f t="shared" si="10"/>
        <v>3.44</v>
      </c>
      <c r="R142" s="18">
        <v>1.6129032258064517</v>
      </c>
      <c r="S142" s="308">
        <f t="shared" si="12"/>
        <v>129.03225806451613</v>
      </c>
      <c r="T142" s="306">
        <f t="shared" si="11"/>
        <v>132.47225806451613</v>
      </c>
    </row>
    <row r="143" spans="1:20" ht="13.5" thickBot="1" x14ac:dyDescent="0.25">
      <c r="A143" s="302" t="s">
        <v>584</v>
      </c>
      <c r="B143" s="206" t="s">
        <v>431</v>
      </c>
      <c r="C143" s="207">
        <v>330</v>
      </c>
      <c r="D143" s="304" t="s">
        <v>257</v>
      </c>
      <c r="E143" s="206" t="s">
        <v>432</v>
      </c>
      <c r="F143" s="207" t="s">
        <v>437</v>
      </c>
      <c r="G143" s="207">
        <v>27.6</v>
      </c>
      <c r="H143" s="206">
        <v>90</v>
      </c>
      <c r="I143" s="206"/>
      <c r="J143" s="206"/>
      <c r="K143" s="201">
        <v>10</v>
      </c>
      <c r="L143" s="209"/>
      <c r="M143" s="233" t="s">
        <v>234</v>
      </c>
      <c r="N143" s="233"/>
      <c r="O143" s="209">
        <f>0.86*27</f>
        <v>23.22</v>
      </c>
      <c r="P143" s="54">
        <f>'PRECIOS INSUMOS 2015'!C$5</f>
        <v>2</v>
      </c>
      <c r="Q143" s="18">
        <f t="shared" si="10"/>
        <v>46.44</v>
      </c>
      <c r="R143" s="209">
        <f t="shared" ref="R143:R148" si="13">G143/H143</f>
        <v>0.3066666666666667</v>
      </c>
      <c r="S143" s="308">
        <f t="shared" si="12"/>
        <v>24.533333333333335</v>
      </c>
      <c r="T143" s="306">
        <f t="shared" si="11"/>
        <v>70.973333333333329</v>
      </c>
    </row>
    <row r="144" spans="1:20" ht="13.5" thickBot="1" x14ac:dyDescent="0.25">
      <c r="A144" s="302" t="s">
        <v>585</v>
      </c>
      <c r="B144" s="206" t="s">
        <v>276</v>
      </c>
      <c r="C144" s="244">
        <v>330</v>
      </c>
      <c r="D144" s="244" t="s">
        <v>257</v>
      </c>
      <c r="E144" s="381" t="s">
        <v>262</v>
      </c>
      <c r="F144" s="244" t="s">
        <v>308</v>
      </c>
      <c r="G144" s="244">
        <v>1</v>
      </c>
      <c r="H144" s="381">
        <v>0.7</v>
      </c>
      <c r="I144" s="381"/>
      <c r="J144" s="381"/>
      <c r="K144" s="201">
        <v>10</v>
      </c>
      <c r="L144" s="247"/>
      <c r="M144" s="233" t="s">
        <v>234</v>
      </c>
      <c r="N144" s="233"/>
      <c r="O144" s="209">
        <f>151.24/13.42</f>
        <v>11.269746646795827</v>
      </c>
      <c r="P144" s="54">
        <f>'PRECIOS INSUMOS 2015'!C$5</f>
        <v>2</v>
      </c>
      <c r="Q144" s="18">
        <f t="shared" si="10"/>
        <v>22.539493293591654</v>
      </c>
      <c r="R144" s="247">
        <f t="shared" si="13"/>
        <v>1.4285714285714286</v>
      </c>
      <c r="S144" s="308">
        <f t="shared" si="12"/>
        <v>114.28571428571429</v>
      </c>
      <c r="T144" s="306">
        <f t="shared" si="11"/>
        <v>136.82520757930595</v>
      </c>
    </row>
    <row r="145" spans="1:20" ht="13.5" thickBot="1" x14ac:dyDescent="0.25">
      <c r="A145" s="302" t="s">
        <v>586</v>
      </c>
      <c r="B145" s="206" t="s">
        <v>569</v>
      </c>
      <c r="C145" s="207">
        <v>330</v>
      </c>
      <c r="D145" s="44" t="s">
        <v>266</v>
      </c>
      <c r="E145" s="206" t="s">
        <v>266</v>
      </c>
      <c r="F145" s="207" t="s">
        <v>437</v>
      </c>
      <c r="G145" s="207">
        <v>35</v>
      </c>
      <c r="H145" s="206">
        <v>10</v>
      </c>
      <c r="I145" s="206"/>
      <c r="J145" s="206"/>
      <c r="K145" s="209"/>
      <c r="L145" s="209">
        <v>10</v>
      </c>
      <c r="M145" s="233"/>
      <c r="N145" s="233"/>
      <c r="O145" s="209"/>
      <c r="P145" s="13"/>
      <c r="Q145" s="18">
        <f>P145*O145</f>
        <v>0</v>
      </c>
      <c r="R145" s="209">
        <f t="shared" si="13"/>
        <v>3.5</v>
      </c>
      <c r="S145" s="308">
        <f t="shared" si="12"/>
        <v>280</v>
      </c>
      <c r="T145" s="306">
        <f t="shared" si="11"/>
        <v>280</v>
      </c>
    </row>
    <row r="146" spans="1:20" ht="13.5" thickBot="1" x14ac:dyDescent="0.25">
      <c r="A146" s="302" t="s">
        <v>587</v>
      </c>
      <c r="B146" s="206" t="s">
        <v>431</v>
      </c>
      <c r="C146" s="207">
        <v>334</v>
      </c>
      <c r="D146" s="304" t="s">
        <v>257</v>
      </c>
      <c r="E146" s="206" t="s">
        <v>432</v>
      </c>
      <c r="F146" s="207" t="s">
        <v>437</v>
      </c>
      <c r="G146" s="329">
        <f>22/21.74</f>
        <v>1.0119595216191353</v>
      </c>
      <c r="H146" s="206">
        <v>90</v>
      </c>
      <c r="I146" s="206"/>
      <c r="J146" s="206"/>
      <c r="K146" s="201">
        <v>10</v>
      </c>
      <c r="L146" s="209"/>
      <c r="M146" s="233" t="s">
        <v>234</v>
      </c>
      <c r="N146" s="233"/>
      <c r="O146" s="209">
        <f>0.86*1.012</f>
        <v>0.87031999999999998</v>
      </c>
      <c r="P146" s="54">
        <f>'PRECIOS INSUMOS 2015'!C$5</f>
        <v>2</v>
      </c>
      <c r="Q146" s="18">
        <f>P146*O146</f>
        <v>1.74064</v>
      </c>
      <c r="R146" s="209">
        <f t="shared" si="13"/>
        <v>1.1243994684657059E-2</v>
      </c>
      <c r="S146" s="308">
        <f t="shared" si="12"/>
        <v>0.89951957477256472</v>
      </c>
      <c r="T146" s="306">
        <f t="shared" si="11"/>
        <v>2.6401595747725648</v>
      </c>
    </row>
    <row r="147" spans="1:20" x14ac:dyDescent="0.2">
      <c r="A147" s="302" t="s">
        <v>588</v>
      </c>
      <c r="B147" s="206" t="s">
        <v>307</v>
      </c>
      <c r="C147" s="207">
        <v>334</v>
      </c>
      <c r="D147" s="304" t="s">
        <v>257</v>
      </c>
      <c r="E147" s="206" t="s">
        <v>330</v>
      </c>
      <c r="F147" s="207" t="s">
        <v>308</v>
      </c>
      <c r="G147" s="207">
        <v>1</v>
      </c>
      <c r="H147" s="206">
        <v>0.5</v>
      </c>
      <c r="I147" s="206"/>
      <c r="J147" s="206"/>
      <c r="K147" s="201">
        <v>10</v>
      </c>
      <c r="L147" s="209"/>
      <c r="M147" s="233" t="s">
        <v>234</v>
      </c>
      <c r="N147" s="233"/>
      <c r="O147" s="209">
        <f>151.24/13.42</f>
        <v>11.269746646795827</v>
      </c>
      <c r="P147" s="54">
        <f>'PRECIOS INSUMOS 2015'!C$5</f>
        <v>2</v>
      </c>
      <c r="Q147" s="18">
        <f>P147*O147</f>
        <v>22.539493293591654</v>
      </c>
      <c r="R147" s="209">
        <f t="shared" si="13"/>
        <v>2</v>
      </c>
      <c r="S147" s="308">
        <f t="shared" si="12"/>
        <v>160</v>
      </c>
      <c r="T147" s="306">
        <f t="shared" si="11"/>
        <v>182.53949329359165</v>
      </c>
    </row>
    <row r="148" spans="1:20" x14ac:dyDescent="0.2">
      <c r="A148" s="934" t="s">
        <v>589</v>
      </c>
      <c r="B148" s="935" t="s">
        <v>569</v>
      </c>
      <c r="C148" s="213">
        <v>334</v>
      </c>
      <c r="D148" s="901" t="s">
        <v>266</v>
      </c>
      <c r="E148" s="935" t="s">
        <v>266</v>
      </c>
      <c r="F148" s="213" t="s">
        <v>437</v>
      </c>
      <c r="G148" s="213">
        <v>6</v>
      </c>
      <c r="H148" s="935">
        <v>6</v>
      </c>
      <c r="I148" s="935"/>
      <c r="J148" s="935"/>
      <c r="K148" s="219"/>
      <c r="L148" s="219">
        <v>10</v>
      </c>
      <c r="M148" s="936"/>
      <c r="N148" s="936"/>
      <c r="O148" s="219"/>
      <c r="P148" s="14"/>
      <c r="Q148" s="104">
        <f>P148*O148</f>
        <v>0</v>
      </c>
      <c r="R148" s="219">
        <f t="shared" si="13"/>
        <v>1</v>
      </c>
      <c r="S148" s="937">
        <f t="shared" si="12"/>
        <v>80</v>
      </c>
      <c r="T148" s="357">
        <f t="shared" si="11"/>
        <v>80</v>
      </c>
    </row>
    <row r="149" spans="1:20" x14ac:dyDescent="0.2">
      <c r="A149" s="2121" t="s">
        <v>1879</v>
      </c>
      <c r="B149" s="2088"/>
      <c r="C149" s="2088"/>
      <c r="D149" s="2088"/>
      <c r="E149" s="2088"/>
      <c r="F149" s="2088"/>
      <c r="G149" s="2088"/>
      <c r="H149" s="400"/>
      <c r="I149" s="400"/>
      <c r="J149" s="400"/>
      <c r="K149" s="237"/>
      <c r="L149" s="237"/>
      <c r="M149" s="296"/>
      <c r="N149" s="296"/>
      <c r="O149" s="393">
        <f>47*53</f>
        <v>2491</v>
      </c>
      <c r="P149" s="13">
        <v>0.17</v>
      </c>
      <c r="Q149" s="18">
        <f>O149*P149</f>
        <v>423.47</v>
      </c>
      <c r="R149" s="209"/>
      <c r="S149" s="255">
        <f>K149*R149*8</f>
        <v>0</v>
      </c>
      <c r="T149" s="209">
        <f t="shared" si="11"/>
        <v>423.47</v>
      </c>
    </row>
    <row r="150" spans="1:20" x14ac:dyDescent="0.2">
      <c r="A150" s="12"/>
      <c r="B150" s="254"/>
      <c r="C150" s="254"/>
      <c r="D150" s="254"/>
      <c r="E150" s="254"/>
      <c r="F150" s="254"/>
      <c r="G150" s="254"/>
      <c r="H150" s="400"/>
      <c r="I150" s="400"/>
      <c r="J150" s="400"/>
      <c r="K150" s="237"/>
      <c r="L150" s="237"/>
      <c r="M150" s="296"/>
      <c r="N150" s="296"/>
      <c r="O150" s="393"/>
      <c r="P150" s="13"/>
      <c r="Q150" s="18"/>
      <c r="R150" s="209"/>
      <c r="S150" s="255"/>
      <c r="T150" s="209"/>
    </row>
    <row r="151" spans="1:20" ht="13.5" thickBot="1" x14ac:dyDescent="0.25">
      <c r="A151" s="2122" t="s">
        <v>219</v>
      </c>
      <c r="B151" s="2123"/>
      <c r="C151" s="938"/>
      <c r="D151" s="939"/>
      <c r="E151" s="939"/>
      <c r="F151" s="939"/>
      <c r="G151" s="939">
        <v>1</v>
      </c>
      <c r="H151" s="940"/>
      <c r="I151" s="940"/>
      <c r="J151" s="940"/>
      <c r="K151" s="306">
        <v>10</v>
      </c>
      <c r="L151" s="306">
        <v>10</v>
      </c>
      <c r="M151" s="941"/>
      <c r="N151" s="964"/>
      <c r="O151" s="306"/>
      <c r="P151" s="83"/>
      <c r="Q151" s="942">
        <f>SUM(Q9:Q149)</f>
        <v>5553.3309350819618</v>
      </c>
      <c r="R151" s="83">
        <f>SUM(R9:R149)</f>
        <v>150.03232608837436</v>
      </c>
      <c r="S151" s="345">
        <f>K151*R151*8</f>
        <v>12002.586087069949</v>
      </c>
      <c r="T151" s="306">
        <f t="shared" si="11"/>
        <v>17555.917022151909</v>
      </c>
    </row>
    <row r="152" spans="1:20" x14ac:dyDescent="0.2">
      <c r="C152" s="283"/>
      <c r="E152" s="282"/>
      <c r="H152" s="330"/>
    </row>
    <row r="153" spans="1:20" x14ac:dyDescent="0.2">
      <c r="C153" s="283"/>
      <c r="E153" s="282"/>
      <c r="H153" s="330"/>
      <c r="O153" s="286"/>
    </row>
    <row r="154" spans="1:20" x14ac:dyDescent="0.2">
      <c r="E154" s="196">
        <f>53*30</f>
        <v>1590</v>
      </c>
    </row>
    <row r="155" spans="1:20" x14ac:dyDescent="0.2">
      <c r="O155" s="288">
        <f>SUBTOTAL(9,O9:O154)</f>
        <v>2882.7754675409851</v>
      </c>
    </row>
  </sheetData>
  <autoFilter ref="A7:V149"/>
  <mergeCells count="20">
    <mergeCell ref="T5:T7"/>
    <mergeCell ref="A149:G149"/>
    <mergeCell ref="A151:B151"/>
    <mergeCell ref="A4:A7"/>
    <mergeCell ref="B4:B7"/>
    <mergeCell ref="G5:G7"/>
    <mergeCell ref="D4:Q4"/>
    <mergeCell ref="F6:F7"/>
    <mergeCell ref="H5:H7"/>
    <mergeCell ref="K5:L6"/>
    <mergeCell ref="S5:S7"/>
    <mergeCell ref="R5:R6"/>
    <mergeCell ref="M5:Q6"/>
    <mergeCell ref="R4:T4"/>
    <mergeCell ref="C4:C7"/>
    <mergeCell ref="A1:T1"/>
    <mergeCell ref="A3:D3"/>
    <mergeCell ref="E3:K3"/>
    <mergeCell ref="P3:R3"/>
    <mergeCell ref="A2:D2"/>
  </mergeCells>
  <phoneticPr fontId="7" type="noConversion"/>
  <pageMargins left="0.78740157480314965" right="0" top="0.39370078740157483" bottom="0.39370078740157483" header="0" footer="0"/>
  <pageSetup scale="89" orientation="landscape" horizontalDpi="300" verticalDpi="300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indexed="46"/>
  </sheetPr>
  <dimension ref="A1:T133"/>
  <sheetViews>
    <sheetView showGridLines="0" showZeros="0" defaultGridColor="0" topLeftCell="A12" colorId="23" zoomScaleNormal="100" workbookViewId="0">
      <selection activeCell="D4" sqref="D4:O4"/>
    </sheetView>
  </sheetViews>
  <sheetFormatPr baseColWidth="10" defaultColWidth="11.42578125" defaultRowHeight="12.75" x14ac:dyDescent="0.2"/>
  <cols>
    <col min="1" max="1" width="3.7109375" style="282" customWidth="1"/>
    <col min="2" max="2" width="21.28515625" style="283" customWidth="1"/>
    <col min="3" max="3" width="4.28515625" style="283" customWidth="1"/>
    <col min="4" max="4" width="8.28515625" style="282" customWidth="1"/>
    <col min="5" max="5" width="11.28515625" style="283" customWidth="1"/>
    <col min="6" max="6" width="4.5703125" style="282" customWidth="1"/>
    <col min="7" max="7" width="5.28515625" style="282" customWidth="1"/>
    <col min="8" max="8" width="7.28515625" style="330" customWidth="1"/>
    <col min="9" max="10" width="5.7109375" style="288" customWidth="1"/>
    <col min="11" max="11" width="10.5703125" style="283" customWidth="1"/>
    <col min="12" max="12" width="10.5703125" style="283" hidden="1" customWidth="1"/>
    <col min="13" max="13" width="6.5703125" style="288" customWidth="1"/>
    <col min="14" max="14" width="8.7109375" style="288" customWidth="1"/>
    <col min="15" max="15" width="7.28515625" style="289" customWidth="1"/>
    <col min="16" max="16" width="7.5703125" style="288" customWidth="1"/>
    <col min="17" max="17" width="7.7109375" style="290" customWidth="1"/>
    <col min="18" max="18" width="8.28515625" style="290" hidden="1" customWidth="1"/>
    <col min="19" max="19" width="8.7109375" style="288" customWidth="1"/>
    <col min="20" max="20" width="9.28515625" style="191" customWidth="1"/>
    <col min="21" max="16384" width="11.42578125" style="191"/>
  </cols>
  <sheetData>
    <row r="1" spans="1:19" ht="20.25" x14ac:dyDescent="0.3">
      <c r="A1" s="2062" t="s">
        <v>231</v>
      </c>
      <c r="B1" s="2063"/>
      <c r="C1" s="2063"/>
      <c r="D1" s="2063"/>
      <c r="E1" s="2063"/>
      <c r="F1" s="2063"/>
      <c r="G1" s="2063"/>
      <c r="H1" s="2063"/>
      <c r="I1" s="2063"/>
      <c r="J1" s="2063"/>
      <c r="K1" s="2063"/>
      <c r="L1" s="2063"/>
      <c r="M1" s="2063"/>
      <c r="N1" s="2063"/>
      <c r="O1" s="2063"/>
      <c r="P1" s="2063"/>
      <c r="Q1" s="2063"/>
      <c r="R1" s="2063"/>
      <c r="S1" s="2066"/>
    </row>
    <row r="2" spans="1:19" ht="15.75" x14ac:dyDescent="0.25">
      <c r="A2" s="2067" t="s">
        <v>630</v>
      </c>
      <c r="B2" s="2068"/>
      <c r="C2" s="2068"/>
      <c r="D2" s="2068"/>
      <c r="E2" s="2068"/>
      <c r="F2" s="2068"/>
      <c r="G2" s="2068"/>
      <c r="H2" s="2068"/>
      <c r="I2" s="2068"/>
      <c r="J2" s="2068"/>
      <c r="K2" s="2068"/>
      <c r="L2" s="2068"/>
      <c r="M2" s="2068"/>
      <c r="N2" s="2068"/>
      <c r="O2" s="2068"/>
      <c r="P2" s="2068"/>
      <c r="Q2" s="2068"/>
      <c r="R2" s="2068"/>
      <c r="S2" s="2071"/>
    </row>
    <row r="3" spans="1:19" ht="16.5" thickBot="1" x14ac:dyDescent="0.3">
      <c r="A3" s="2072" t="s">
        <v>523</v>
      </c>
      <c r="B3" s="2073"/>
      <c r="C3" s="2073"/>
      <c r="D3" s="2073"/>
      <c r="E3" s="2075" t="s">
        <v>277</v>
      </c>
      <c r="F3" s="2075"/>
      <c r="G3" s="2075"/>
      <c r="H3" s="2075"/>
      <c r="I3" s="2075"/>
      <c r="J3" s="291">
        <v>15</v>
      </c>
      <c r="K3" s="192" t="s">
        <v>278</v>
      </c>
      <c r="L3" s="192"/>
      <c r="M3" s="192"/>
      <c r="N3" s="2077" t="s">
        <v>279</v>
      </c>
      <c r="O3" s="2077"/>
      <c r="P3" s="2077"/>
      <c r="Q3" s="2140"/>
      <c r="R3" s="2140"/>
      <c r="S3" s="20"/>
    </row>
    <row r="4" spans="1:19" ht="13.5" thickBot="1" x14ac:dyDescent="0.25">
      <c r="A4" s="2102" t="s">
        <v>223</v>
      </c>
      <c r="B4" s="2110" t="s">
        <v>224</v>
      </c>
      <c r="C4" s="2141" t="s">
        <v>252</v>
      </c>
      <c r="D4" s="2056" t="s">
        <v>216</v>
      </c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9"/>
      <c r="P4" s="2057" t="s">
        <v>217</v>
      </c>
      <c r="Q4" s="2057"/>
      <c r="R4" s="2057"/>
      <c r="S4" s="2059"/>
    </row>
    <row r="5" spans="1:19" x14ac:dyDescent="0.2">
      <c r="A5" s="2102"/>
      <c r="B5" s="2110"/>
      <c r="C5" s="2116"/>
      <c r="D5" s="51"/>
      <c r="E5" s="101"/>
      <c r="F5" s="51"/>
      <c r="G5" s="2081" t="s">
        <v>287</v>
      </c>
      <c r="H5" s="2137" t="s">
        <v>288</v>
      </c>
      <c r="I5" s="2089" t="s">
        <v>235</v>
      </c>
      <c r="J5" s="2091"/>
      <c r="K5" s="2089" t="s">
        <v>218</v>
      </c>
      <c r="L5" s="2090"/>
      <c r="M5" s="2090"/>
      <c r="N5" s="2090"/>
      <c r="O5" s="2091"/>
      <c r="P5" s="2144" t="s">
        <v>221</v>
      </c>
      <c r="Q5" s="2089" t="s">
        <v>222</v>
      </c>
      <c r="R5" s="182"/>
      <c r="S5" s="2141" t="s">
        <v>296</v>
      </c>
    </row>
    <row r="6" spans="1:19" ht="13.5" thickBot="1" x14ac:dyDescent="0.25">
      <c r="A6" s="2102"/>
      <c r="B6" s="2110"/>
      <c r="C6" s="2116"/>
      <c r="D6" s="32" t="s">
        <v>236</v>
      </c>
      <c r="E6" s="91" t="s">
        <v>237</v>
      </c>
      <c r="F6" s="2095" t="s">
        <v>226</v>
      </c>
      <c r="G6" s="2082"/>
      <c r="H6" s="2138"/>
      <c r="I6" s="2092"/>
      <c r="J6" s="2094"/>
      <c r="K6" s="2092"/>
      <c r="L6" s="2093"/>
      <c r="M6" s="2093"/>
      <c r="N6" s="2093"/>
      <c r="O6" s="2094"/>
      <c r="P6" s="2145"/>
      <c r="Q6" s="2147"/>
      <c r="R6" s="183"/>
      <c r="S6" s="2142"/>
    </row>
    <row r="7" spans="1:19" ht="13.5" thickBot="1" x14ac:dyDescent="0.25">
      <c r="A7" s="2103"/>
      <c r="B7" s="2111"/>
      <c r="C7" s="2117"/>
      <c r="D7" s="90" t="s">
        <v>238</v>
      </c>
      <c r="E7" s="94" t="s">
        <v>238</v>
      </c>
      <c r="F7" s="2096"/>
      <c r="G7" s="2083"/>
      <c r="H7" s="2139"/>
      <c r="I7" s="30" t="s">
        <v>239</v>
      </c>
      <c r="J7" s="49" t="s">
        <v>240</v>
      </c>
      <c r="K7" s="30" t="s">
        <v>225</v>
      </c>
      <c r="L7" s="30"/>
      <c r="M7" s="30" t="s">
        <v>220</v>
      </c>
      <c r="N7" s="30" t="s">
        <v>227</v>
      </c>
      <c r="O7" s="49" t="s">
        <v>241</v>
      </c>
      <c r="P7" s="2146"/>
      <c r="Q7" s="2148"/>
      <c r="R7" s="347" t="s">
        <v>240</v>
      </c>
      <c r="S7" s="2143"/>
    </row>
    <row r="8" spans="1:19" s="196" customFormat="1" ht="13.5" thickBot="1" x14ac:dyDescent="0.25">
      <c r="A8" s="30">
        <v>1</v>
      </c>
      <c r="B8" s="31">
        <v>2</v>
      </c>
      <c r="C8" s="31">
        <v>3</v>
      </c>
      <c r="D8" s="32">
        <v>5</v>
      </c>
      <c r="E8" s="32">
        <v>6</v>
      </c>
      <c r="F8" s="32">
        <v>7</v>
      </c>
      <c r="G8" s="32">
        <v>8</v>
      </c>
      <c r="H8" s="32">
        <v>9</v>
      </c>
      <c r="I8" s="32">
        <v>10</v>
      </c>
      <c r="J8" s="33">
        <v>11</v>
      </c>
      <c r="K8" s="33">
        <v>12</v>
      </c>
      <c r="L8" s="33"/>
      <c r="M8" s="33">
        <v>13</v>
      </c>
      <c r="N8" s="30">
        <v>14</v>
      </c>
      <c r="O8" s="33" t="s">
        <v>289</v>
      </c>
      <c r="P8" s="32">
        <v>16</v>
      </c>
      <c r="Q8" s="30" t="s">
        <v>280</v>
      </c>
      <c r="R8" s="49" t="s">
        <v>281</v>
      </c>
      <c r="S8" s="30" t="s">
        <v>282</v>
      </c>
    </row>
    <row r="9" spans="1:19" x14ac:dyDescent="0.2">
      <c r="A9" s="328" t="s">
        <v>441</v>
      </c>
      <c r="B9" s="254" t="s">
        <v>253</v>
      </c>
      <c r="C9" s="207">
        <v>-40</v>
      </c>
      <c r="D9" s="207" t="s">
        <v>254</v>
      </c>
      <c r="E9" s="237" t="s">
        <v>255</v>
      </c>
      <c r="F9" s="207" t="s">
        <v>308</v>
      </c>
      <c r="G9" s="207">
        <v>1</v>
      </c>
      <c r="H9" s="18">
        <v>1.25</v>
      </c>
      <c r="I9" s="209">
        <v>10</v>
      </c>
      <c r="J9" s="209"/>
      <c r="K9" s="102" t="s">
        <v>234</v>
      </c>
      <c r="L9" s="102"/>
      <c r="M9" s="13">
        <v>32.4</v>
      </c>
      <c r="N9" s="13">
        <f>'PRECIOS INSUMOS 2015'!C$5</f>
        <v>2</v>
      </c>
      <c r="O9" s="18">
        <f t="shared" ref="O9:O40" si="0">N9*M9</f>
        <v>64.8</v>
      </c>
      <c r="P9" s="209">
        <f t="shared" ref="P9:P19" si="1">G9/H9</f>
        <v>0.8</v>
      </c>
      <c r="Q9" s="81">
        <f>(I9+J9)*P9*8</f>
        <v>64</v>
      </c>
      <c r="R9" s="226">
        <f t="shared" ref="R9:R40" si="2">J9*P9*8</f>
        <v>0</v>
      </c>
      <c r="S9" s="306">
        <f t="shared" ref="S9:S40" si="3">R9+Q9+O9</f>
        <v>128.80000000000001</v>
      </c>
    </row>
    <row r="10" spans="1:19" x14ac:dyDescent="0.2">
      <c r="A10" s="328" t="s">
        <v>442</v>
      </c>
      <c r="B10" s="254" t="s">
        <v>256</v>
      </c>
      <c r="C10" s="207">
        <v>-33</v>
      </c>
      <c r="D10" s="207" t="s">
        <v>257</v>
      </c>
      <c r="E10" s="237" t="s">
        <v>329</v>
      </c>
      <c r="F10" s="207" t="s">
        <v>308</v>
      </c>
      <c r="G10" s="207">
        <v>1</v>
      </c>
      <c r="H10" s="18">
        <v>4</v>
      </c>
      <c r="I10" s="209">
        <v>10</v>
      </c>
      <c r="J10" s="209"/>
      <c r="K10" s="102" t="s">
        <v>234</v>
      </c>
      <c r="L10" s="102"/>
      <c r="M10" s="13">
        <v>3.12</v>
      </c>
      <c r="N10" s="13">
        <f>'PRECIOS INSUMOS 2015'!C$5</f>
        <v>2</v>
      </c>
      <c r="O10" s="18">
        <f t="shared" si="0"/>
        <v>6.24</v>
      </c>
      <c r="P10" s="209">
        <f t="shared" si="1"/>
        <v>0.25</v>
      </c>
      <c r="Q10" s="81">
        <f t="shared" ref="Q10:Q73" si="4">(I10+J10)*P10*8</f>
        <v>20</v>
      </c>
      <c r="R10" s="226">
        <f t="shared" si="2"/>
        <v>0</v>
      </c>
      <c r="S10" s="306">
        <f t="shared" si="3"/>
        <v>26.240000000000002</v>
      </c>
    </row>
    <row r="11" spans="1:19" x14ac:dyDescent="0.2">
      <c r="A11" s="328" t="s">
        <v>443</v>
      </c>
      <c r="B11" s="254" t="s">
        <v>258</v>
      </c>
      <c r="C11" s="207">
        <v>-23</v>
      </c>
      <c r="D11" s="207" t="s">
        <v>483</v>
      </c>
      <c r="E11" s="237" t="s">
        <v>255</v>
      </c>
      <c r="F11" s="207" t="s">
        <v>308</v>
      </c>
      <c r="G11" s="207">
        <v>1</v>
      </c>
      <c r="H11" s="18">
        <v>1.25</v>
      </c>
      <c r="I11" s="209">
        <v>10</v>
      </c>
      <c r="J11" s="209"/>
      <c r="K11" s="102" t="s">
        <v>234</v>
      </c>
      <c r="L11" s="102"/>
      <c r="M11" s="13">
        <v>32.4</v>
      </c>
      <c r="N11" s="13">
        <f>'PRECIOS INSUMOS 2015'!C$5</f>
        <v>2</v>
      </c>
      <c r="O11" s="18">
        <f t="shared" si="0"/>
        <v>64.8</v>
      </c>
      <c r="P11" s="209">
        <f t="shared" si="1"/>
        <v>0.8</v>
      </c>
      <c r="Q11" s="81">
        <f t="shared" si="4"/>
        <v>64</v>
      </c>
      <c r="R11" s="226">
        <f t="shared" si="2"/>
        <v>0</v>
      </c>
      <c r="S11" s="306">
        <f t="shared" si="3"/>
        <v>128.80000000000001</v>
      </c>
    </row>
    <row r="12" spans="1:19" x14ac:dyDescent="0.2">
      <c r="A12" s="328" t="s">
        <v>444</v>
      </c>
      <c r="B12" s="254" t="s">
        <v>256</v>
      </c>
      <c r="C12" s="207">
        <v>-21</v>
      </c>
      <c r="D12" s="207" t="s">
        <v>257</v>
      </c>
      <c r="E12" s="237" t="s">
        <v>329</v>
      </c>
      <c r="F12" s="207" t="s">
        <v>308</v>
      </c>
      <c r="G12" s="207">
        <v>1</v>
      </c>
      <c r="H12" s="18">
        <v>4</v>
      </c>
      <c r="I12" s="209">
        <v>10</v>
      </c>
      <c r="J12" s="209"/>
      <c r="K12" s="102" t="s">
        <v>234</v>
      </c>
      <c r="L12" s="102"/>
      <c r="M12" s="13">
        <v>3.12</v>
      </c>
      <c r="N12" s="13">
        <f>'PRECIOS INSUMOS 2015'!C$5</f>
        <v>2</v>
      </c>
      <c r="O12" s="18">
        <f t="shared" si="0"/>
        <v>6.24</v>
      </c>
      <c r="P12" s="209">
        <f t="shared" si="1"/>
        <v>0.25</v>
      </c>
      <c r="Q12" s="81">
        <f t="shared" si="4"/>
        <v>20</v>
      </c>
      <c r="R12" s="226">
        <f t="shared" si="2"/>
        <v>0</v>
      </c>
      <c r="S12" s="306">
        <f t="shared" si="3"/>
        <v>26.240000000000002</v>
      </c>
    </row>
    <row r="13" spans="1:19" x14ac:dyDescent="0.2">
      <c r="A13" s="328" t="s">
        <v>445</v>
      </c>
      <c r="B13" s="254" t="s">
        <v>259</v>
      </c>
      <c r="C13" s="207">
        <v>-19</v>
      </c>
      <c r="D13" s="207" t="s">
        <v>483</v>
      </c>
      <c r="E13" s="237" t="s">
        <v>260</v>
      </c>
      <c r="F13" s="207" t="s">
        <v>308</v>
      </c>
      <c r="G13" s="207">
        <v>1</v>
      </c>
      <c r="H13" s="18">
        <v>0.21</v>
      </c>
      <c r="I13" s="209">
        <v>10</v>
      </c>
      <c r="J13" s="209"/>
      <c r="K13" s="102" t="s">
        <v>234</v>
      </c>
      <c r="L13" s="102"/>
      <c r="M13" s="13">
        <v>20.190000000000001</v>
      </c>
      <c r="N13" s="13">
        <f>'PRECIOS INSUMOS 2015'!C$5</f>
        <v>2</v>
      </c>
      <c r="O13" s="18">
        <f t="shared" si="0"/>
        <v>40.380000000000003</v>
      </c>
      <c r="P13" s="209">
        <f t="shared" si="1"/>
        <v>4.7619047619047619</v>
      </c>
      <c r="Q13" s="81">
        <f t="shared" si="4"/>
        <v>380.95238095238096</v>
      </c>
      <c r="R13" s="226">
        <f t="shared" si="2"/>
        <v>0</v>
      </c>
      <c r="S13" s="306">
        <f t="shared" si="3"/>
        <v>421.33238095238096</v>
      </c>
    </row>
    <row r="14" spans="1:19" x14ac:dyDescent="0.2">
      <c r="A14" s="328" t="s">
        <v>446</v>
      </c>
      <c r="B14" s="254" t="s">
        <v>245</v>
      </c>
      <c r="C14" s="207">
        <v>-18</v>
      </c>
      <c r="D14" s="207" t="s">
        <v>254</v>
      </c>
      <c r="E14" s="237" t="s">
        <v>484</v>
      </c>
      <c r="F14" s="207" t="s">
        <v>308</v>
      </c>
      <c r="G14" s="207">
        <v>1</v>
      </c>
      <c r="H14" s="18">
        <v>1.25</v>
      </c>
      <c r="I14" s="209">
        <v>10</v>
      </c>
      <c r="J14" s="209"/>
      <c r="K14" s="102" t="s">
        <v>234</v>
      </c>
      <c r="L14" s="102"/>
      <c r="M14" s="13">
        <v>7.36</v>
      </c>
      <c r="N14" s="13">
        <f>'PRECIOS INSUMOS 2015'!C$5</f>
        <v>2</v>
      </c>
      <c r="O14" s="18">
        <f t="shared" si="0"/>
        <v>14.72</v>
      </c>
      <c r="P14" s="209">
        <f t="shared" si="1"/>
        <v>0.8</v>
      </c>
      <c r="Q14" s="81">
        <f t="shared" si="4"/>
        <v>64</v>
      </c>
      <c r="R14" s="226">
        <f t="shared" si="2"/>
        <v>0</v>
      </c>
      <c r="S14" s="306">
        <f t="shared" si="3"/>
        <v>78.72</v>
      </c>
    </row>
    <row r="15" spans="1:19" x14ac:dyDescent="0.2">
      <c r="A15" s="328" t="s">
        <v>447</v>
      </c>
      <c r="B15" s="254" t="s">
        <v>261</v>
      </c>
      <c r="C15" s="207">
        <v>-15</v>
      </c>
      <c r="D15" s="207" t="s">
        <v>483</v>
      </c>
      <c r="E15" s="237" t="s">
        <v>255</v>
      </c>
      <c r="F15" s="207" t="s">
        <v>308</v>
      </c>
      <c r="G15" s="207">
        <v>1</v>
      </c>
      <c r="H15" s="18">
        <v>1.25</v>
      </c>
      <c r="I15" s="209">
        <v>10</v>
      </c>
      <c r="J15" s="209"/>
      <c r="K15" s="102" t="s">
        <v>234</v>
      </c>
      <c r="L15" s="102"/>
      <c r="M15" s="13">
        <v>32.4</v>
      </c>
      <c r="N15" s="13">
        <f>'PRECIOS INSUMOS 2015'!C$5</f>
        <v>2</v>
      </c>
      <c r="O15" s="18">
        <f t="shared" si="0"/>
        <v>64.8</v>
      </c>
      <c r="P15" s="209">
        <f t="shared" si="1"/>
        <v>0.8</v>
      </c>
      <c r="Q15" s="81">
        <f t="shared" si="4"/>
        <v>64</v>
      </c>
      <c r="R15" s="226">
        <f t="shared" si="2"/>
        <v>0</v>
      </c>
      <c r="S15" s="306">
        <f t="shared" si="3"/>
        <v>128.80000000000001</v>
      </c>
    </row>
    <row r="16" spans="1:19" x14ac:dyDescent="0.2">
      <c r="A16" s="328" t="s">
        <v>448</v>
      </c>
      <c r="B16" s="254" t="s">
        <v>256</v>
      </c>
      <c r="C16" s="207">
        <v>-7</v>
      </c>
      <c r="D16" s="207" t="s">
        <v>257</v>
      </c>
      <c r="E16" s="237" t="s">
        <v>329</v>
      </c>
      <c r="F16" s="207" t="s">
        <v>308</v>
      </c>
      <c r="G16" s="207">
        <v>1</v>
      </c>
      <c r="H16" s="18">
        <v>4</v>
      </c>
      <c r="I16" s="209">
        <v>10</v>
      </c>
      <c r="J16" s="209"/>
      <c r="K16" s="102" t="s">
        <v>234</v>
      </c>
      <c r="L16" s="102"/>
      <c r="M16" s="13">
        <v>3.12</v>
      </c>
      <c r="N16" s="13">
        <f>'PRECIOS INSUMOS 2015'!C$5</f>
        <v>2</v>
      </c>
      <c r="O16" s="18">
        <f t="shared" si="0"/>
        <v>6.24</v>
      </c>
      <c r="P16" s="209">
        <f t="shared" si="1"/>
        <v>0.25</v>
      </c>
      <c r="Q16" s="81">
        <f t="shared" si="4"/>
        <v>20</v>
      </c>
      <c r="R16" s="226">
        <f t="shared" si="2"/>
        <v>0</v>
      </c>
      <c r="S16" s="306">
        <f t="shared" si="3"/>
        <v>26.240000000000002</v>
      </c>
    </row>
    <row r="17" spans="1:19" x14ac:dyDescent="0.2">
      <c r="A17" s="328" t="s">
        <v>449</v>
      </c>
      <c r="B17" s="254" t="s">
        <v>485</v>
      </c>
      <c r="C17" s="207">
        <v>-5</v>
      </c>
      <c r="D17" s="207" t="s">
        <v>483</v>
      </c>
      <c r="E17" s="237" t="s">
        <v>262</v>
      </c>
      <c r="F17" s="207" t="s">
        <v>308</v>
      </c>
      <c r="G17" s="207">
        <v>1</v>
      </c>
      <c r="H17" s="18">
        <v>4</v>
      </c>
      <c r="I17" s="209">
        <v>10</v>
      </c>
      <c r="J17" s="209"/>
      <c r="K17" s="102" t="s">
        <v>234</v>
      </c>
      <c r="L17" s="102"/>
      <c r="M17" s="13">
        <v>10.199999999999999</v>
      </c>
      <c r="N17" s="13">
        <f>'PRECIOS INSUMOS 2015'!C$5</f>
        <v>2</v>
      </c>
      <c r="O17" s="18">
        <f t="shared" si="0"/>
        <v>20.399999999999999</v>
      </c>
      <c r="P17" s="209">
        <f t="shared" si="1"/>
        <v>0.25</v>
      </c>
      <c r="Q17" s="81">
        <f t="shared" si="4"/>
        <v>20</v>
      </c>
      <c r="R17" s="226">
        <f t="shared" si="2"/>
        <v>0</v>
      </c>
      <c r="S17" s="306">
        <f t="shared" si="3"/>
        <v>40.4</v>
      </c>
    </row>
    <row r="18" spans="1:19" x14ac:dyDescent="0.2">
      <c r="A18" s="328" t="s">
        <v>341</v>
      </c>
      <c r="B18" s="206" t="s">
        <v>486</v>
      </c>
      <c r="C18" s="207">
        <v>-4</v>
      </c>
      <c r="D18" s="304" t="s">
        <v>257</v>
      </c>
      <c r="E18" s="237" t="s">
        <v>305</v>
      </c>
      <c r="F18" s="208" t="s">
        <v>437</v>
      </c>
      <c r="G18" s="208">
        <v>15</v>
      </c>
      <c r="H18" s="18">
        <v>32</v>
      </c>
      <c r="I18" s="209">
        <v>10</v>
      </c>
      <c r="J18" s="209"/>
      <c r="K18" s="102" t="s">
        <v>234</v>
      </c>
      <c r="L18" s="102"/>
      <c r="M18" s="13">
        <f>0.86*G18</f>
        <v>12.9</v>
      </c>
      <c r="N18" s="13">
        <f>'PRECIOS INSUMOS 2015'!C$5</f>
        <v>2</v>
      </c>
      <c r="O18" s="18">
        <f t="shared" si="0"/>
        <v>25.8</v>
      </c>
      <c r="P18" s="209">
        <f t="shared" si="1"/>
        <v>0.46875</v>
      </c>
      <c r="Q18" s="81">
        <f t="shared" si="4"/>
        <v>37.5</v>
      </c>
      <c r="R18" s="226">
        <f t="shared" si="2"/>
        <v>0</v>
      </c>
      <c r="S18" s="306">
        <f t="shared" si="3"/>
        <v>63.3</v>
      </c>
    </row>
    <row r="19" spans="1:19" x14ac:dyDescent="0.2">
      <c r="A19" s="328" t="s">
        <v>343</v>
      </c>
      <c r="B19" s="206" t="s">
        <v>487</v>
      </c>
      <c r="C19" s="207">
        <v>-3</v>
      </c>
      <c r="D19" s="304" t="s">
        <v>257</v>
      </c>
      <c r="E19" s="237" t="s">
        <v>305</v>
      </c>
      <c r="F19" s="208" t="s">
        <v>437</v>
      </c>
      <c r="G19" s="208">
        <v>15</v>
      </c>
      <c r="H19" s="18">
        <v>20</v>
      </c>
      <c r="I19" s="209">
        <v>10</v>
      </c>
      <c r="J19" s="209"/>
      <c r="K19" s="102" t="s">
        <v>234</v>
      </c>
      <c r="L19" s="102"/>
      <c r="M19" s="13">
        <f>102.8/13.42</f>
        <v>7.6602086438152011</v>
      </c>
      <c r="N19" s="13">
        <f>'PRECIOS INSUMOS 2015'!C$5</f>
        <v>2</v>
      </c>
      <c r="O19" s="18">
        <f t="shared" si="0"/>
        <v>15.320417287630402</v>
      </c>
      <c r="P19" s="209">
        <f t="shared" si="1"/>
        <v>0.75</v>
      </c>
      <c r="Q19" s="81">
        <f t="shared" si="4"/>
        <v>60</v>
      </c>
      <c r="R19" s="226">
        <f t="shared" si="2"/>
        <v>0</v>
      </c>
      <c r="S19" s="306">
        <f t="shared" si="3"/>
        <v>75.320417287630406</v>
      </c>
    </row>
    <row r="20" spans="1:19" x14ac:dyDescent="0.2">
      <c r="A20" s="328" t="s">
        <v>337</v>
      </c>
      <c r="B20" s="206" t="s">
        <v>344</v>
      </c>
      <c r="C20" s="230">
        <v>-2</v>
      </c>
      <c r="D20" s="304" t="s">
        <v>257</v>
      </c>
      <c r="E20" s="237" t="s">
        <v>476</v>
      </c>
      <c r="F20" s="331" t="s">
        <v>308</v>
      </c>
      <c r="G20" s="230">
        <v>1</v>
      </c>
      <c r="H20" s="18"/>
      <c r="I20" s="209"/>
      <c r="J20" s="209"/>
      <c r="K20" s="102" t="s">
        <v>1367</v>
      </c>
      <c r="L20" s="102"/>
      <c r="M20" s="13">
        <v>0.35</v>
      </c>
      <c r="N20" s="13">
        <v>18</v>
      </c>
      <c r="O20" s="18">
        <f t="shared" si="0"/>
        <v>6.3</v>
      </c>
      <c r="P20" s="209"/>
      <c r="Q20" s="81">
        <f t="shared" si="4"/>
        <v>0</v>
      </c>
      <c r="R20" s="226">
        <f t="shared" si="2"/>
        <v>0</v>
      </c>
      <c r="S20" s="306">
        <f t="shared" si="3"/>
        <v>6.3</v>
      </c>
    </row>
    <row r="21" spans="1:19" x14ac:dyDescent="0.2">
      <c r="A21" s="348" t="s">
        <v>337</v>
      </c>
      <c r="B21" s="36" t="s">
        <v>593</v>
      </c>
      <c r="C21" s="74">
        <v>-2</v>
      </c>
      <c r="D21" s="44" t="s">
        <v>257</v>
      </c>
      <c r="E21" s="294" t="s">
        <v>476</v>
      </c>
      <c r="F21" s="74" t="s">
        <v>308</v>
      </c>
      <c r="G21" s="349">
        <v>1</v>
      </c>
      <c r="H21" s="18">
        <v>1.7</v>
      </c>
      <c r="I21" s="209">
        <v>10</v>
      </c>
      <c r="J21" s="18"/>
      <c r="K21" s="102" t="s">
        <v>234</v>
      </c>
      <c r="L21" s="102"/>
      <c r="M21" s="13">
        <f>0.86*2</f>
        <v>1.72</v>
      </c>
      <c r="N21" s="13">
        <f>'PRECIOS INSUMOS 2015'!C$5</f>
        <v>2</v>
      </c>
      <c r="O21" s="18">
        <f t="shared" si="0"/>
        <v>3.44</v>
      </c>
      <c r="P21" s="18">
        <f>G21/H21</f>
        <v>0.58823529411764708</v>
      </c>
      <c r="Q21" s="81">
        <f t="shared" si="4"/>
        <v>47.058823529411768</v>
      </c>
      <c r="R21" s="226">
        <f t="shared" si="2"/>
        <v>0</v>
      </c>
      <c r="S21" s="57">
        <f t="shared" si="3"/>
        <v>50.498823529411766</v>
      </c>
    </row>
    <row r="22" spans="1:19" x14ac:dyDescent="0.2">
      <c r="A22" s="328" t="s">
        <v>339</v>
      </c>
      <c r="B22" s="212" t="s">
        <v>346</v>
      </c>
      <c r="C22" s="230">
        <v>0</v>
      </c>
      <c r="D22" s="304" t="s">
        <v>257</v>
      </c>
      <c r="E22" s="332" t="s">
        <v>305</v>
      </c>
      <c r="F22" s="230" t="s">
        <v>509</v>
      </c>
      <c r="G22" s="230">
        <v>0.625</v>
      </c>
      <c r="H22" s="18">
        <v>4</v>
      </c>
      <c r="I22" s="209">
        <v>10</v>
      </c>
      <c r="J22" s="209"/>
      <c r="K22" s="102" t="s">
        <v>234</v>
      </c>
      <c r="L22" s="102"/>
      <c r="M22" s="13">
        <v>0.86</v>
      </c>
      <c r="N22" s="13">
        <f>'PRECIOS INSUMOS 2015'!C$5</f>
        <v>2</v>
      </c>
      <c r="O22" s="18">
        <f t="shared" si="0"/>
        <v>1.72</v>
      </c>
      <c r="P22" s="209">
        <f>G22/H22</f>
        <v>0.15625</v>
      </c>
      <c r="Q22" s="81">
        <f t="shared" si="4"/>
        <v>12.5</v>
      </c>
      <c r="R22" s="226">
        <f t="shared" si="2"/>
        <v>0</v>
      </c>
      <c r="S22" s="306">
        <f t="shared" si="3"/>
        <v>14.22</v>
      </c>
    </row>
    <row r="23" spans="1:19" x14ac:dyDescent="0.2">
      <c r="A23" s="328" t="s">
        <v>345</v>
      </c>
      <c r="B23" s="211" t="s">
        <v>488</v>
      </c>
      <c r="C23" s="230">
        <v>0</v>
      </c>
      <c r="D23" s="334" t="s">
        <v>266</v>
      </c>
      <c r="E23" s="332" t="s">
        <v>271</v>
      </c>
      <c r="F23" s="230" t="s">
        <v>308</v>
      </c>
      <c r="G23" s="230">
        <v>1</v>
      </c>
      <c r="H23" s="18">
        <v>0.3</v>
      </c>
      <c r="I23" s="209"/>
      <c r="J23" s="209">
        <v>10</v>
      </c>
      <c r="K23" s="102"/>
      <c r="L23" s="102"/>
      <c r="M23" s="13"/>
      <c r="N23" s="13"/>
      <c r="O23" s="18">
        <f t="shared" si="0"/>
        <v>0</v>
      </c>
      <c r="P23" s="209">
        <f>G23/H23</f>
        <v>3.3333333333333335</v>
      </c>
      <c r="Q23" s="81">
        <f t="shared" si="4"/>
        <v>266.66666666666669</v>
      </c>
      <c r="R23" s="226">
        <f t="shared" si="2"/>
        <v>266.66666666666669</v>
      </c>
      <c r="S23" s="306">
        <f t="shared" si="3"/>
        <v>533.33333333333337</v>
      </c>
    </row>
    <row r="24" spans="1:19" x14ac:dyDescent="0.2">
      <c r="A24" s="328" t="s">
        <v>347</v>
      </c>
      <c r="B24" s="237" t="s">
        <v>489</v>
      </c>
      <c r="C24" s="230">
        <v>1</v>
      </c>
      <c r="D24" s="304" t="s">
        <v>257</v>
      </c>
      <c r="E24" s="237" t="s">
        <v>476</v>
      </c>
      <c r="F24" s="230" t="s">
        <v>308</v>
      </c>
      <c r="G24" s="230">
        <v>1</v>
      </c>
      <c r="H24" s="18"/>
      <c r="I24" s="209"/>
      <c r="J24" s="209"/>
      <c r="K24" s="102" t="s">
        <v>1367</v>
      </c>
      <c r="L24" s="102"/>
      <c r="M24" s="13">
        <v>0.35</v>
      </c>
      <c r="N24" s="13">
        <v>18</v>
      </c>
      <c r="O24" s="18">
        <f t="shared" si="0"/>
        <v>6.3</v>
      </c>
      <c r="P24" s="209"/>
      <c r="Q24" s="81">
        <f t="shared" si="4"/>
        <v>0</v>
      </c>
      <c r="R24" s="226">
        <f t="shared" si="2"/>
        <v>0</v>
      </c>
      <c r="S24" s="306">
        <f t="shared" si="3"/>
        <v>6.3</v>
      </c>
    </row>
    <row r="25" spans="1:19" x14ac:dyDescent="0.2">
      <c r="A25" s="348" t="s">
        <v>347</v>
      </c>
      <c r="B25" s="294" t="s">
        <v>590</v>
      </c>
      <c r="C25" s="74">
        <v>1</v>
      </c>
      <c r="D25" s="1" t="s">
        <v>257</v>
      </c>
      <c r="E25" s="294" t="s">
        <v>476</v>
      </c>
      <c r="F25" s="74" t="s">
        <v>308</v>
      </c>
      <c r="G25" s="74">
        <v>1</v>
      </c>
      <c r="H25" s="18">
        <v>1.7</v>
      </c>
      <c r="I25" s="209">
        <v>10</v>
      </c>
      <c r="J25" s="18"/>
      <c r="K25" s="102" t="s">
        <v>234</v>
      </c>
      <c r="L25" s="102"/>
      <c r="M25" s="13">
        <f>0.86*2</f>
        <v>1.72</v>
      </c>
      <c r="N25" s="13">
        <f>'PRECIOS INSUMOS 2015'!C$5</f>
        <v>2</v>
      </c>
      <c r="O25" s="18">
        <f t="shared" si="0"/>
        <v>3.44</v>
      </c>
      <c r="P25" s="18">
        <f>G25/H25</f>
        <v>0.58823529411764708</v>
      </c>
      <c r="Q25" s="81">
        <f t="shared" si="4"/>
        <v>47.058823529411768</v>
      </c>
      <c r="R25" s="226">
        <f t="shared" si="2"/>
        <v>0</v>
      </c>
      <c r="S25" s="57">
        <f t="shared" si="3"/>
        <v>50.498823529411766</v>
      </c>
    </row>
    <row r="26" spans="1:19" x14ac:dyDescent="0.2">
      <c r="A26" s="328" t="s">
        <v>350</v>
      </c>
      <c r="B26" s="206" t="s">
        <v>490</v>
      </c>
      <c r="C26" s="207">
        <v>3</v>
      </c>
      <c r="D26" s="207" t="s">
        <v>257</v>
      </c>
      <c r="E26" s="237" t="s">
        <v>303</v>
      </c>
      <c r="F26" s="207" t="s">
        <v>308</v>
      </c>
      <c r="G26" s="207">
        <v>1</v>
      </c>
      <c r="H26" s="18">
        <v>8</v>
      </c>
      <c r="I26" s="209">
        <v>10</v>
      </c>
      <c r="J26" s="209"/>
      <c r="K26" s="102" t="s">
        <v>512</v>
      </c>
      <c r="L26" s="102"/>
      <c r="M26" s="13">
        <v>2.5</v>
      </c>
      <c r="N26" s="13">
        <f>'PRECIOS INSUMOS 2015'!H18</f>
        <v>10</v>
      </c>
      <c r="O26" s="18">
        <f t="shared" si="0"/>
        <v>25</v>
      </c>
      <c r="P26" s="209">
        <f>G26/H26</f>
        <v>0.125</v>
      </c>
      <c r="Q26" s="81">
        <f t="shared" si="4"/>
        <v>10</v>
      </c>
      <c r="R26" s="226">
        <f t="shared" si="2"/>
        <v>0</v>
      </c>
      <c r="S26" s="306">
        <f t="shared" si="3"/>
        <v>35</v>
      </c>
    </row>
    <row r="27" spans="1:19" x14ac:dyDescent="0.2">
      <c r="A27" s="328" t="s">
        <v>352</v>
      </c>
      <c r="B27" s="254" t="s">
        <v>263</v>
      </c>
      <c r="C27" s="207">
        <v>8</v>
      </c>
      <c r="D27" s="207" t="s">
        <v>257</v>
      </c>
      <c r="E27" s="237" t="s">
        <v>476</v>
      </c>
      <c r="F27" s="207" t="s">
        <v>308</v>
      </c>
      <c r="G27" s="207">
        <v>1</v>
      </c>
      <c r="H27" s="18"/>
      <c r="I27" s="209"/>
      <c r="J27" s="209"/>
      <c r="K27" s="102" t="s">
        <v>1367</v>
      </c>
      <c r="L27" s="102"/>
      <c r="M27" s="13">
        <v>0.35</v>
      </c>
      <c r="N27" s="13">
        <v>18</v>
      </c>
      <c r="O27" s="18">
        <f t="shared" si="0"/>
        <v>6.3</v>
      </c>
      <c r="P27" s="209"/>
      <c r="Q27" s="81">
        <f t="shared" si="4"/>
        <v>0</v>
      </c>
      <c r="R27" s="226">
        <f t="shared" si="2"/>
        <v>0</v>
      </c>
      <c r="S27" s="306">
        <f t="shared" si="3"/>
        <v>6.3</v>
      </c>
    </row>
    <row r="28" spans="1:19" x14ac:dyDescent="0.2">
      <c r="A28" s="348" t="s">
        <v>352</v>
      </c>
      <c r="B28" s="12" t="s">
        <v>592</v>
      </c>
      <c r="C28" s="1">
        <v>8</v>
      </c>
      <c r="D28" s="1" t="s">
        <v>257</v>
      </c>
      <c r="E28" s="294" t="s">
        <v>476</v>
      </c>
      <c r="F28" s="1" t="s">
        <v>308</v>
      </c>
      <c r="G28" s="1">
        <v>1</v>
      </c>
      <c r="H28" s="18">
        <v>1.7</v>
      </c>
      <c r="I28" s="209">
        <v>10</v>
      </c>
      <c r="J28" s="18"/>
      <c r="K28" s="102" t="s">
        <v>234</v>
      </c>
      <c r="L28" s="102"/>
      <c r="M28" s="13">
        <f>0.86*2</f>
        <v>1.72</v>
      </c>
      <c r="N28" s="13">
        <f>'PRECIOS INSUMOS 2015'!C$5</f>
        <v>2</v>
      </c>
      <c r="O28" s="18">
        <f t="shared" si="0"/>
        <v>3.44</v>
      </c>
      <c r="P28" s="18">
        <f>G28/H28</f>
        <v>0.58823529411764708</v>
      </c>
      <c r="Q28" s="81">
        <f t="shared" si="4"/>
        <v>47.058823529411768</v>
      </c>
      <c r="R28" s="226">
        <f t="shared" si="2"/>
        <v>0</v>
      </c>
      <c r="S28" s="57">
        <f t="shared" si="3"/>
        <v>50.498823529411766</v>
      </c>
    </row>
    <row r="29" spans="1:19" x14ac:dyDescent="0.2">
      <c r="A29" s="328" t="s">
        <v>354</v>
      </c>
      <c r="B29" s="254" t="s">
        <v>263</v>
      </c>
      <c r="C29" s="207">
        <v>15</v>
      </c>
      <c r="D29" s="207" t="s">
        <v>257</v>
      </c>
      <c r="E29" s="237" t="s">
        <v>476</v>
      </c>
      <c r="F29" s="207" t="s">
        <v>308</v>
      </c>
      <c r="G29" s="207">
        <v>1</v>
      </c>
      <c r="H29" s="18"/>
      <c r="I29" s="209"/>
      <c r="J29" s="209"/>
      <c r="K29" s="102" t="s">
        <v>1367</v>
      </c>
      <c r="L29" s="102"/>
      <c r="M29" s="13">
        <v>0.35</v>
      </c>
      <c r="N29" s="13">
        <v>18</v>
      </c>
      <c r="O29" s="18">
        <f t="shared" si="0"/>
        <v>6.3</v>
      </c>
      <c r="P29" s="209"/>
      <c r="Q29" s="81">
        <f t="shared" si="4"/>
        <v>0</v>
      </c>
      <c r="R29" s="226">
        <f t="shared" si="2"/>
        <v>0</v>
      </c>
      <c r="S29" s="306">
        <f t="shared" si="3"/>
        <v>6.3</v>
      </c>
    </row>
    <row r="30" spans="1:19" x14ac:dyDescent="0.2">
      <c r="A30" s="348" t="s">
        <v>354</v>
      </c>
      <c r="B30" s="12" t="s">
        <v>592</v>
      </c>
      <c r="C30" s="1">
        <v>15</v>
      </c>
      <c r="D30" s="1" t="s">
        <v>257</v>
      </c>
      <c r="E30" s="294" t="s">
        <v>476</v>
      </c>
      <c r="F30" s="1" t="s">
        <v>308</v>
      </c>
      <c r="G30" s="1">
        <v>1</v>
      </c>
      <c r="H30" s="18">
        <v>1.7</v>
      </c>
      <c r="I30" s="209">
        <v>10</v>
      </c>
      <c r="J30" s="18"/>
      <c r="K30" s="102" t="s">
        <v>234</v>
      </c>
      <c r="L30" s="102"/>
      <c r="M30" s="13">
        <f>0.86*2</f>
        <v>1.72</v>
      </c>
      <c r="N30" s="13">
        <f>'PRECIOS INSUMOS 2015'!C$5</f>
        <v>2</v>
      </c>
      <c r="O30" s="18">
        <f t="shared" si="0"/>
        <v>3.44</v>
      </c>
      <c r="P30" s="18">
        <f>G30/H30</f>
        <v>0.58823529411764708</v>
      </c>
      <c r="Q30" s="81">
        <f t="shared" si="4"/>
        <v>47.058823529411768</v>
      </c>
      <c r="R30" s="226">
        <f t="shared" si="2"/>
        <v>0</v>
      </c>
      <c r="S30" s="57">
        <f t="shared" si="3"/>
        <v>50.498823529411766</v>
      </c>
    </row>
    <row r="31" spans="1:19" x14ac:dyDescent="0.2">
      <c r="A31" s="328" t="s">
        <v>355</v>
      </c>
      <c r="B31" s="254" t="s">
        <v>304</v>
      </c>
      <c r="C31" s="207">
        <v>17</v>
      </c>
      <c r="D31" s="207" t="s">
        <v>266</v>
      </c>
      <c r="E31" s="237" t="s">
        <v>271</v>
      </c>
      <c r="F31" s="207" t="s">
        <v>308</v>
      </c>
      <c r="G31" s="207">
        <v>1</v>
      </c>
      <c r="H31" s="18">
        <v>0.62</v>
      </c>
      <c r="I31" s="209"/>
      <c r="J31" s="209">
        <v>10</v>
      </c>
      <c r="K31" s="102"/>
      <c r="L31" s="102"/>
      <c r="M31" s="13"/>
      <c r="N31" s="13"/>
      <c r="O31" s="18">
        <f t="shared" si="0"/>
        <v>0</v>
      </c>
      <c r="P31" s="209">
        <f>G31/H31</f>
        <v>1.6129032258064517</v>
      </c>
      <c r="Q31" s="81">
        <f t="shared" si="4"/>
        <v>129.03225806451613</v>
      </c>
      <c r="R31" s="226">
        <f t="shared" si="2"/>
        <v>129.03225806451613</v>
      </c>
      <c r="S31" s="306">
        <f t="shared" si="3"/>
        <v>258.06451612903226</v>
      </c>
    </row>
    <row r="32" spans="1:19" x14ac:dyDescent="0.2">
      <c r="A32" s="328" t="s">
        <v>356</v>
      </c>
      <c r="B32" s="254" t="s">
        <v>263</v>
      </c>
      <c r="C32" s="207">
        <v>22</v>
      </c>
      <c r="D32" s="207" t="s">
        <v>257</v>
      </c>
      <c r="E32" s="237" t="s">
        <v>476</v>
      </c>
      <c r="F32" s="207" t="s">
        <v>308</v>
      </c>
      <c r="G32" s="207">
        <v>1</v>
      </c>
      <c r="H32" s="18"/>
      <c r="I32" s="209"/>
      <c r="J32" s="209"/>
      <c r="K32" s="102" t="s">
        <v>1367</v>
      </c>
      <c r="L32" s="102"/>
      <c r="M32" s="13">
        <v>0.35</v>
      </c>
      <c r="N32" s="13">
        <v>18</v>
      </c>
      <c r="O32" s="18">
        <f t="shared" si="0"/>
        <v>6.3</v>
      </c>
      <c r="P32" s="209"/>
      <c r="Q32" s="81">
        <f t="shared" si="4"/>
        <v>0</v>
      </c>
      <c r="R32" s="226">
        <f t="shared" si="2"/>
        <v>0</v>
      </c>
      <c r="S32" s="306">
        <f t="shared" si="3"/>
        <v>6.3</v>
      </c>
    </row>
    <row r="33" spans="1:19" x14ac:dyDescent="0.2">
      <c r="A33" s="348" t="s">
        <v>356</v>
      </c>
      <c r="B33" s="12" t="s">
        <v>592</v>
      </c>
      <c r="C33" s="1">
        <v>22</v>
      </c>
      <c r="D33" s="1" t="s">
        <v>257</v>
      </c>
      <c r="E33" s="294" t="s">
        <v>476</v>
      </c>
      <c r="F33" s="1" t="s">
        <v>308</v>
      </c>
      <c r="G33" s="1">
        <v>1</v>
      </c>
      <c r="H33" s="18">
        <v>1.7</v>
      </c>
      <c r="I33" s="209">
        <v>10</v>
      </c>
      <c r="J33" s="18"/>
      <c r="K33" s="102" t="s">
        <v>234</v>
      </c>
      <c r="L33" s="102"/>
      <c r="M33" s="13">
        <f>0.86*2</f>
        <v>1.72</v>
      </c>
      <c r="N33" s="13">
        <f>'PRECIOS INSUMOS 2015'!C$5</f>
        <v>2</v>
      </c>
      <c r="O33" s="18">
        <f t="shared" si="0"/>
        <v>3.44</v>
      </c>
      <c r="P33" s="18">
        <f>G33/H33</f>
        <v>0.58823529411764708</v>
      </c>
      <c r="Q33" s="81">
        <f t="shared" si="4"/>
        <v>47.058823529411768</v>
      </c>
      <c r="R33" s="226">
        <f t="shared" si="2"/>
        <v>0</v>
      </c>
      <c r="S33" s="57">
        <f t="shared" si="3"/>
        <v>50.498823529411766</v>
      </c>
    </row>
    <row r="34" spans="1:19" x14ac:dyDescent="0.2">
      <c r="A34" s="328" t="s">
        <v>357</v>
      </c>
      <c r="B34" s="254" t="s">
        <v>263</v>
      </c>
      <c r="C34" s="207">
        <v>29</v>
      </c>
      <c r="D34" s="207" t="s">
        <v>257</v>
      </c>
      <c r="E34" s="237" t="s">
        <v>476</v>
      </c>
      <c r="F34" s="207" t="s">
        <v>308</v>
      </c>
      <c r="G34" s="207">
        <v>1</v>
      </c>
      <c r="H34" s="18"/>
      <c r="I34" s="209"/>
      <c r="J34" s="209"/>
      <c r="K34" s="102" t="s">
        <v>1367</v>
      </c>
      <c r="L34" s="102"/>
      <c r="M34" s="13">
        <v>0.35</v>
      </c>
      <c r="N34" s="13">
        <v>18</v>
      </c>
      <c r="O34" s="18">
        <f t="shared" si="0"/>
        <v>6.3</v>
      </c>
      <c r="P34" s="209"/>
      <c r="Q34" s="81">
        <f t="shared" si="4"/>
        <v>0</v>
      </c>
      <c r="R34" s="226">
        <f t="shared" si="2"/>
        <v>0</v>
      </c>
      <c r="S34" s="306">
        <f t="shared" si="3"/>
        <v>6.3</v>
      </c>
    </row>
    <row r="35" spans="1:19" x14ac:dyDescent="0.2">
      <c r="A35" s="348" t="s">
        <v>357</v>
      </c>
      <c r="B35" s="12" t="s">
        <v>592</v>
      </c>
      <c r="C35" s="1">
        <v>29</v>
      </c>
      <c r="D35" s="1" t="s">
        <v>257</v>
      </c>
      <c r="E35" s="294" t="s">
        <v>476</v>
      </c>
      <c r="F35" s="1" t="s">
        <v>308</v>
      </c>
      <c r="G35" s="1">
        <v>1</v>
      </c>
      <c r="H35" s="18">
        <v>1.7</v>
      </c>
      <c r="I35" s="209">
        <v>10</v>
      </c>
      <c r="J35" s="18"/>
      <c r="K35" s="102" t="s">
        <v>234</v>
      </c>
      <c r="L35" s="102"/>
      <c r="M35" s="13">
        <f>0.86*2</f>
        <v>1.72</v>
      </c>
      <c r="N35" s="13">
        <f>'PRECIOS INSUMOS 2015'!C$5</f>
        <v>2</v>
      </c>
      <c r="O35" s="18">
        <f t="shared" si="0"/>
        <v>3.44</v>
      </c>
      <c r="P35" s="18">
        <f>G35/H35</f>
        <v>0.58823529411764708</v>
      </c>
      <c r="Q35" s="81">
        <f t="shared" si="4"/>
        <v>47.058823529411768</v>
      </c>
      <c r="R35" s="226">
        <f t="shared" si="2"/>
        <v>0</v>
      </c>
      <c r="S35" s="57">
        <f t="shared" si="3"/>
        <v>50.498823529411766</v>
      </c>
    </row>
    <row r="36" spans="1:19" x14ac:dyDescent="0.2">
      <c r="A36" s="328" t="s">
        <v>358</v>
      </c>
      <c r="B36" s="254" t="s">
        <v>269</v>
      </c>
      <c r="C36" s="207">
        <v>32</v>
      </c>
      <c r="D36" s="207" t="s">
        <v>257</v>
      </c>
      <c r="E36" s="237" t="s">
        <v>360</v>
      </c>
      <c r="F36" s="207" t="s">
        <v>308</v>
      </c>
      <c r="G36" s="207">
        <v>1</v>
      </c>
      <c r="H36" s="18">
        <v>4</v>
      </c>
      <c r="I36" s="209">
        <v>10</v>
      </c>
      <c r="J36" s="209"/>
      <c r="K36" s="102" t="s">
        <v>234</v>
      </c>
      <c r="L36" s="102"/>
      <c r="M36" s="13">
        <f>96.62/13.42</f>
        <v>7.1997019374068554</v>
      </c>
      <c r="N36" s="13">
        <f>'PRECIOS INSUMOS 2015'!C$5</f>
        <v>2</v>
      </c>
      <c r="O36" s="18">
        <f t="shared" si="0"/>
        <v>14.399403874813711</v>
      </c>
      <c r="P36" s="209">
        <f>G36/H36</f>
        <v>0.25</v>
      </c>
      <c r="Q36" s="81">
        <f t="shared" si="4"/>
        <v>20</v>
      </c>
      <c r="R36" s="226">
        <f t="shared" si="2"/>
        <v>0</v>
      </c>
      <c r="S36" s="306">
        <f t="shared" si="3"/>
        <v>34.399403874813714</v>
      </c>
    </row>
    <row r="37" spans="1:19" x14ac:dyDescent="0.2">
      <c r="A37" s="328" t="s">
        <v>359</v>
      </c>
      <c r="B37" s="254" t="s">
        <v>270</v>
      </c>
      <c r="C37" s="207">
        <v>34</v>
      </c>
      <c r="D37" s="207" t="s">
        <v>266</v>
      </c>
      <c r="E37" s="237" t="s">
        <v>271</v>
      </c>
      <c r="F37" s="207" t="s">
        <v>308</v>
      </c>
      <c r="G37" s="207">
        <v>1</v>
      </c>
      <c r="H37" s="18">
        <v>0.08</v>
      </c>
      <c r="I37" s="209"/>
      <c r="J37" s="209">
        <v>10</v>
      </c>
      <c r="K37" s="102"/>
      <c r="L37" s="102"/>
      <c r="M37" s="13"/>
      <c r="N37" s="13"/>
      <c r="O37" s="18">
        <f t="shared" si="0"/>
        <v>0</v>
      </c>
      <c r="P37" s="209">
        <f>G37/H37</f>
        <v>12.5</v>
      </c>
      <c r="Q37" s="81">
        <f t="shared" si="4"/>
        <v>1000</v>
      </c>
      <c r="R37" s="226">
        <f t="shared" si="2"/>
        <v>1000</v>
      </c>
      <c r="S37" s="306">
        <f t="shared" si="3"/>
        <v>2000</v>
      </c>
    </row>
    <row r="38" spans="1:19" x14ac:dyDescent="0.2">
      <c r="A38" s="328" t="s">
        <v>361</v>
      </c>
      <c r="B38" s="254" t="s">
        <v>263</v>
      </c>
      <c r="C38" s="207">
        <v>36</v>
      </c>
      <c r="D38" s="207" t="s">
        <v>257</v>
      </c>
      <c r="E38" s="237" t="s">
        <v>476</v>
      </c>
      <c r="F38" s="207" t="s">
        <v>308</v>
      </c>
      <c r="G38" s="207">
        <v>1</v>
      </c>
      <c r="H38" s="18"/>
      <c r="I38" s="209"/>
      <c r="J38" s="209"/>
      <c r="K38" s="102" t="s">
        <v>1367</v>
      </c>
      <c r="L38" s="102"/>
      <c r="M38" s="13">
        <v>0.35</v>
      </c>
      <c r="N38" s="13">
        <v>18</v>
      </c>
      <c r="O38" s="18">
        <f t="shared" si="0"/>
        <v>6.3</v>
      </c>
      <c r="P38" s="209"/>
      <c r="Q38" s="81">
        <f t="shared" si="4"/>
        <v>0</v>
      </c>
      <c r="R38" s="226">
        <f t="shared" si="2"/>
        <v>0</v>
      </c>
      <c r="S38" s="306">
        <f t="shared" si="3"/>
        <v>6.3</v>
      </c>
    </row>
    <row r="39" spans="1:19" x14ac:dyDescent="0.2">
      <c r="A39" s="348" t="s">
        <v>361</v>
      </c>
      <c r="B39" s="12" t="s">
        <v>592</v>
      </c>
      <c r="C39" s="1">
        <v>36</v>
      </c>
      <c r="D39" s="1" t="s">
        <v>257</v>
      </c>
      <c r="E39" s="294" t="s">
        <v>476</v>
      </c>
      <c r="F39" s="1" t="s">
        <v>308</v>
      </c>
      <c r="G39" s="1">
        <v>1</v>
      </c>
      <c r="H39" s="18">
        <v>1.7</v>
      </c>
      <c r="I39" s="209">
        <v>10</v>
      </c>
      <c r="J39" s="18"/>
      <c r="K39" s="102" t="s">
        <v>234</v>
      </c>
      <c r="L39" s="102"/>
      <c r="M39" s="13">
        <f>0.86*2</f>
        <v>1.72</v>
      </c>
      <c r="N39" s="13">
        <f>'PRECIOS INSUMOS 2015'!C$5</f>
        <v>2</v>
      </c>
      <c r="O39" s="18">
        <f t="shared" si="0"/>
        <v>3.44</v>
      </c>
      <c r="P39" s="18">
        <f>G39/H39</f>
        <v>0.58823529411764708</v>
      </c>
      <c r="Q39" s="81">
        <f t="shared" si="4"/>
        <v>47.058823529411768</v>
      </c>
      <c r="R39" s="226">
        <f t="shared" si="2"/>
        <v>0</v>
      </c>
      <c r="S39" s="57">
        <f t="shared" si="3"/>
        <v>50.498823529411766</v>
      </c>
    </row>
    <row r="40" spans="1:19" x14ac:dyDescent="0.2">
      <c r="A40" s="328" t="s">
        <v>362</v>
      </c>
      <c r="B40" s="254" t="s">
        <v>263</v>
      </c>
      <c r="C40" s="207">
        <v>49</v>
      </c>
      <c r="D40" s="207" t="s">
        <v>257</v>
      </c>
      <c r="E40" s="237" t="s">
        <v>476</v>
      </c>
      <c r="F40" s="207" t="s">
        <v>308</v>
      </c>
      <c r="G40" s="207">
        <v>1</v>
      </c>
      <c r="H40" s="18"/>
      <c r="I40" s="209"/>
      <c r="J40" s="209"/>
      <c r="K40" s="102" t="s">
        <v>1367</v>
      </c>
      <c r="L40" s="102"/>
      <c r="M40" s="13">
        <v>0.35</v>
      </c>
      <c r="N40" s="13">
        <v>18</v>
      </c>
      <c r="O40" s="18">
        <f t="shared" si="0"/>
        <v>6.3</v>
      </c>
      <c r="P40" s="209"/>
      <c r="Q40" s="81">
        <f t="shared" si="4"/>
        <v>0</v>
      </c>
      <c r="R40" s="226">
        <f t="shared" si="2"/>
        <v>0</v>
      </c>
      <c r="S40" s="306">
        <f t="shared" si="3"/>
        <v>6.3</v>
      </c>
    </row>
    <row r="41" spans="1:19" x14ac:dyDescent="0.2">
      <c r="A41" s="348" t="s">
        <v>362</v>
      </c>
      <c r="B41" s="12" t="s">
        <v>592</v>
      </c>
      <c r="C41" s="1">
        <v>49</v>
      </c>
      <c r="D41" s="1" t="s">
        <v>257</v>
      </c>
      <c r="E41" s="294" t="s">
        <v>476</v>
      </c>
      <c r="F41" s="1" t="s">
        <v>308</v>
      </c>
      <c r="G41" s="1">
        <v>1</v>
      </c>
      <c r="H41" s="18">
        <v>1.7</v>
      </c>
      <c r="I41" s="209">
        <v>10</v>
      </c>
      <c r="J41" s="18"/>
      <c r="K41" s="102" t="s">
        <v>234</v>
      </c>
      <c r="L41" s="102"/>
      <c r="M41" s="13">
        <f>0.86*2</f>
        <v>1.72</v>
      </c>
      <c r="N41" s="13">
        <f>'PRECIOS INSUMOS 2015'!C$5</f>
        <v>2</v>
      </c>
      <c r="O41" s="18">
        <f t="shared" ref="O41:O72" si="5">N41*M41</f>
        <v>3.44</v>
      </c>
      <c r="P41" s="18">
        <f t="shared" ref="P41:P48" si="6">G41/H41</f>
        <v>0.58823529411764708</v>
      </c>
      <c r="Q41" s="81">
        <f t="shared" si="4"/>
        <v>47.058823529411768</v>
      </c>
      <c r="R41" s="226">
        <f t="shared" ref="R41:R72" si="7">J41*P41*8</f>
        <v>0</v>
      </c>
      <c r="S41" s="57">
        <f t="shared" ref="S41:S72" si="8">R41+Q41+O41</f>
        <v>50.498823529411766</v>
      </c>
    </row>
    <row r="42" spans="1:19" ht="13.5" thickBot="1" x14ac:dyDescent="0.25">
      <c r="A42" s="350" t="s">
        <v>364</v>
      </c>
      <c r="B42" s="351" t="s">
        <v>491</v>
      </c>
      <c r="C42" s="244">
        <v>50</v>
      </c>
      <c r="D42" s="244" t="s">
        <v>266</v>
      </c>
      <c r="E42" s="243" t="s">
        <v>272</v>
      </c>
      <c r="F42" s="244" t="s">
        <v>308</v>
      </c>
      <c r="G42" s="244">
        <v>1</v>
      </c>
      <c r="H42" s="59">
        <v>0.62</v>
      </c>
      <c r="I42" s="247"/>
      <c r="J42" s="209">
        <v>10</v>
      </c>
      <c r="K42" s="106"/>
      <c r="L42" s="106"/>
      <c r="M42" s="60"/>
      <c r="N42" s="60"/>
      <c r="O42" s="59">
        <f t="shared" si="5"/>
        <v>0</v>
      </c>
      <c r="P42" s="247">
        <f t="shared" si="6"/>
        <v>1.6129032258064517</v>
      </c>
      <c r="Q42" s="257">
        <f t="shared" si="4"/>
        <v>129.03225806451613</v>
      </c>
      <c r="R42" s="56">
        <f t="shared" si="7"/>
        <v>129.03225806451613</v>
      </c>
      <c r="S42" s="247">
        <f t="shared" si="8"/>
        <v>258.06451612903226</v>
      </c>
    </row>
    <row r="43" spans="1:19" x14ac:dyDescent="0.2">
      <c r="A43" s="353" t="s">
        <v>366</v>
      </c>
      <c r="B43" s="303" t="s">
        <v>492</v>
      </c>
      <c r="C43" s="304">
        <v>51</v>
      </c>
      <c r="D43" s="304" t="s">
        <v>257</v>
      </c>
      <c r="E43" s="307" t="s">
        <v>305</v>
      </c>
      <c r="F43" s="304" t="s">
        <v>437</v>
      </c>
      <c r="G43" s="304">
        <v>1.75</v>
      </c>
      <c r="H43" s="57">
        <v>16</v>
      </c>
      <c r="I43" s="209">
        <v>10</v>
      </c>
      <c r="J43" s="306"/>
      <c r="K43" s="103" t="s">
        <v>234</v>
      </c>
      <c r="L43" s="103"/>
      <c r="M43" s="47">
        <f>0.86*G43</f>
        <v>1.5049999999999999</v>
      </c>
      <c r="N43" s="13">
        <f>'PRECIOS INSUMOS 2015'!C$5</f>
        <v>2</v>
      </c>
      <c r="O43" s="57">
        <f t="shared" si="5"/>
        <v>3.01</v>
      </c>
      <c r="P43" s="306">
        <f t="shared" si="6"/>
        <v>0.109375</v>
      </c>
      <c r="Q43" s="308">
        <f t="shared" si="4"/>
        <v>8.75</v>
      </c>
      <c r="R43" s="354">
        <f t="shared" si="7"/>
        <v>0</v>
      </c>
      <c r="S43" s="306">
        <f t="shared" si="8"/>
        <v>11.76</v>
      </c>
    </row>
    <row r="44" spans="1:19" x14ac:dyDescent="0.2">
      <c r="A44" s="328" t="s">
        <v>392</v>
      </c>
      <c r="B44" s="254" t="s">
        <v>492</v>
      </c>
      <c r="C44" s="207">
        <v>51</v>
      </c>
      <c r="D44" s="207" t="s">
        <v>257</v>
      </c>
      <c r="E44" s="237" t="s">
        <v>305</v>
      </c>
      <c r="F44" s="207" t="s">
        <v>437</v>
      </c>
      <c r="G44" s="207">
        <v>1.75</v>
      </c>
      <c r="H44" s="18">
        <v>16</v>
      </c>
      <c r="I44" s="209">
        <v>10</v>
      </c>
      <c r="J44" s="209"/>
      <c r="K44" s="102" t="s">
        <v>234</v>
      </c>
      <c r="L44" s="102"/>
      <c r="M44" s="13">
        <f>0.86*G44</f>
        <v>1.5049999999999999</v>
      </c>
      <c r="N44" s="13">
        <f>'PRECIOS INSUMOS 2015'!C$5</f>
        <v>2</v>
      </c>
      <c r="O44" s="18">
        <f t="shared" si="5"/>
        <v>3.01</v>
      </c>
      <c r="P44" s="209">
        <f t="shared" si="6"/>
        <v>0.109375</v>
      </c>
      <c r="Q44" s="81">
        <f t="shared" si="4"/>
        <v>8.75</v>
      </c>
      <c r="R44" s="226">
        <f t="shared" si="7"/>
        <v>0</v>
      </c>
      <c r="S44" s="306">
        <f t="shared" si="8"/>
        <v>11.76</v>
      </c>
    </row>
    <row r="45" spans="1:19" x14ac:dyDescent="0.2">
      <c r="A45" s="328" t="s">
        <v>369</v>
      </c>
      <c r="B45" s="254" t="s">
        <v>494</v>
      </c>
      <c r="C45" s="207">
        <v>51</v>
      </c>
      <c r="D45" s="207" t="s">
        <v>266</v>
      </c>
      <c r="E45" s="237" t="s">
        <v>268</v>
      </c>
      <c r="F45" s="207" t="s">
        <v>308</v>
      </c>
      <c r="G45" s="207">
        <v>1</v>
      </c>
      <c r="H45" s="18">
        <v>0.17</v>
      </c>
      <c r="I45" s="209"/>
      <c r="J45" s="209">
        <v>10</v>
      </c>
      <c r="K45" s="102" t="s">
        <v>524</v>
      </c>
      <c r="L45" s="102"/>
      <c r="M45" s="13">
        <v>1.5</v>
      </c>
      <c r="N45" s="13">
        <v>454.59</v>
      </c>
      <c r="O45" s="18">
        <f t="shared" si="5"/>
        <v>681.88499999999999</v>
      </c>
      <c r="P45" s="209">
        <f t="shared" si="6"/>
        <v>5.8823529411764701</v>
      </c>
      <c r="Q45" s="81">
        <f t="shared" si="4"/>
        <v>470.58823529411762</v>
      </c>
      <c r="R45" s="226">
        <f t="shared" si="7"/>
        <v>470.58823529411762</v>
      </c>
      <c r="S45" s="306">
        <f t="shared" si="8"/>
        <v>1623.0614705882354</v>
      </c>
    </row>
    <row r="46" spans="1:19" x14ac:dyDescent="0.2">
      <c r="A46" s="328" t="s">
        <v>368</v>
      </c>
      <c r="B46" s="254" t="s">
        <v>493</v>
      </c>
      <c r="C46" s="207">
        <v>51</v>
      </c>
      <c r="D46" s="207" t="s">
        <v>266</v>
      </c>
      <c r="E46" s="237" t="s">
        <v>268</v>
      </c>
      <c r="F46" s="207" t="s">
        <v>308</v>
      </c>
      <c r="G46" s="207">
        <v>1</v>
      </c>
      <c r="H46" s="18">
        <v>0.17</v>
      </c>
      <c r="I46" s="209"/>
      <c r="J46" s="209">
        <v>10</v>
      </c>
      <c r="K46" s="102" t="s">
        <v>987</v>
      </c>
      <c r="L46" s="102"/>
      <c r="M46" s="13">
        <v>0.25</v>
      </c>
      <c r="N46" s="13">
        <f>'PRECIOS INSUMOS 2015'!E$193</f>
        <v>1500</v>
      </c>
      <c r="O46" s="18">
        <f t="shared" si="5"/>
        <v>375</v>
      </c>
      <c r="P46" s="209">
        <f t="shared" si="6"/>
        <v>5.8823529411764701</v>
      </c>
      <c r="Q46" s="81">
        <f t="shared" si="4"/>
        <v>470.58823529411762</v>
      </c>
      <c r="R46" s="226">
        <f t="shared" si="7"/>
        <v>470.58823529411762</v>
      </c>
      <c r="S46" s="306">
        <f t="shared" si="8"/>
        <v>1316.1764705882351</v>
      </c>
    </row>
    <row r="47" spans="1:19" x14ac:dyDescent="0.2">
      <c r="A47" s="328" t="s">
        <v>370</v>
      </c>
      <c r="B47" s="254" t="s">
        <v>269</v>
      </c>
      <c r="C47" s="207">
        <v>52</v>
      </c>
      <c r="D47" s="207" t="s">
        <v>257</v>
      </c>
      <c r="E47" s="237" t="s">
        <v>360</v>
      </c>
      <c r="F47" s="207" t="s">
        <v>308</v>
      </c>
      <c r="G47" s="207">
        <v>1</v>
      </c>
      <c r="H47" s="18">
        <v>4</v>
      </c>
      <c r="I47" s="209">
        <v>10</v>
      </c>
      <c r="J47" s="209"/>
      <c r="K47" s="102" t="s">
        <v>234</v>
      </c>
      <c r="L47" s="102"/>
      <c r="M47" s="13">
        <f>96.62/13.42</f>
        <v>7.1997019374068554</v>
      </c>
      <c r="N47" s="13">
        <f>'PRECIOS INSUMOS 2015'!C$5</f>
        <v>2</v>
      </c>
      <c r="O47" s="18">
        <f t="shared" si="5"/>
        <v>14.399403874813711</v>
      </c>
      <c r="P47" s="209">
        <f t="shared" si="6"/>
        <v>0.25</v>
      </c>
      <c r="Q47" s="81">
        <f t="shared" si="4"/>
        <v>20</v>
      </c>
      <c r="R47" s="226">
        <f t="shared" si="7"/>
        <v>0</v>
      </c>
      <c r="S47" s="306">
        <f t="shared" si="8"/>
        <v>34.399403874813714</v>
      </c>
    </row>
    <row r="48" spans="1:19" x14ac:dyDescent="0.2">
      <c r="A48" s="328" t="s">
        <v>371</v>
      </c>
      <c r="B48" s="254" t="s">
        <v>270</v>
      </c>
      <c r="C48" s="207">
        <v>53</v>
      </c>
      <c r="D48" s="207" t="s">
        <v>266</v>
      </c>
      <c r="E48" s="237" t="s">
        <v>271</v>
      </c>
      <c r="F48" s="207" t="s">
        <v>308</v>
      </c>
      <c r="G48" s="207">
        <v>1</v>
      </c>
      <c r="H48" s="18">
        <v>0.08</v>
      </c>
      <c r="I48" s="209"/>
      <c r="J48" s="209">
        <v>10</v>
      </c>
      <c r="K48" s="102"/>
      <c r="L48" s="102"/>
      <c r="M48" s="13"/>
      <c r="N48" s="13"/>
      <c r="O48" s="18">
        <f t="shared" si="5"/>
        <v>0</v>
      </c>
      <c r="P48" s="209">
        <f t="shared" si="6"/>
        <v>12.5</v>
      </c>
      <c r="Q48" s="81">
        <f t="shared" si="4"/>
        <v>1000</v>
      </c>
      <c r="R48" s="226">
        <f t="shared" si="7"/>
        <v>1000</v>
      </c>
      <c r="S48" s="306">
        <f t="shared" si="8"/>
        <v>2000</v>
      </c>
    </row>
    <row r="49" spans="1:19" x14ac:dyDescent="0.2">
      <c r="A49" s="328" t="s">
        <v>372</v>
      </c>
      <c r="B49" s="254" t="s">
        <v>263</v>
      </c>
      <c r="C49" s="207">
        <v>56</v>
      </c>
      <c r="D49" s="207" t="s">
        <v>257</v>
      </c>
      <c r="E49" s="237" t="s">
        <v>476</v>
      </c>
      <c r="F49" s="207" t="s">
        <v>308</v>
      </c>
      <c r="G49" s="207">
        <v>1</v>
      </c>
      <c r="H49" s="18"/>
      <c r="I49" s="209"/>
      <c r="J49" s="209"/>
      <c r="K49" s="102" t="s">
        <v>1367</v>
      </c>
      <c r="L49" s="102"/>
      <c r="M49" s="13">
        <v>0.35</v>
      </c>
      <c r="N49" s="13">
        <v>18</v>
      </c>
      <c r="O49" s="18">
        <f t="shared" si="5"/>
        <v>6.3</v>
      </c>
      <c r="P49" s="209"/>
      <c r="Q49" s="81">
        <f t="shared" si="4"/>
        <v>0</v>
      </c>
      <c r="R49" s="226">
        <f t="shared" si="7"/>
        <v>0</v>
      </c>
      <c r="S49" s="306">
        <f t="shared" si="8"/>
        <v>6.3</v>
      </c>
    </row>
    <row r="50" spans="1:19" x14ac:dyDescent="0.2">
      <c r="A50" s="348" t="s">
        <v>372</v>
      </c>
      <c r="B50" s="12" t="s">
        <v>592</v>
      </c>
      <c r="C50" s="1">
        <v>56</v>
      </c>
      <c r="D50" s="1" t="s">
        <v>257</v>
      </c>
      <c r="E50" s="294" t="s">
        <v>476</v>
      </c>
      <c r="F50" s="1" t="s">
        <v>308</v>
      </c>
      <c r="G50" s="1">
        <v>1</v>
      </c>
      <c r="H50" s="18">
        <v>1.7</v>
      </c>
      <c r="I50" s="209">
        <v>10</v>
      </c>
      <c r="J50" s="18"/>
      <c r="K50" s="102" t="s">
        <v>234</v>
      </c>
      <c r="L50" s="102"/>
      <c r="M50" s="13">
        <f>0.86*2</f>
        <v>1.72</v>
      </c>
      <c r="N50" s="13">
        <f>'PRECIOS INSUMOS 2015'!C$5</f>
        <v>2</v>
      </c>
      <c r="O50" s="18">
        <f t="shared" si="5"/>
        <v>3.44</v>
      </c>
      <c r="P50" s="18">
        <f>G50/H50</f>
        <v>0.58823529411764708</v>
      </c>
      <c r="Q50" s="81">
        <f t="shared" si="4"/>
        <v>47.058823529411768</v>
      </c>
      <c r="R50" s="226">
        <f t="shared" si="7"/>
        <v>0</v>
      </c>
      <c r="S50" s="57">
        <f t="shared" si="8"/>
        <v>50.498823529411766</v>
      </c>
    </row>
    <row r="51" spans="1:19" x14ac:dyDescent="0.2">
      <c r="A51" s="328" t="s">
        <v>373</v>
      </c>
      <c r="B51" s="254" t="s">
        <v>269</v>
      </c>
      <c r="C51" s="207">
        <v>70</v>
      </c>
      <c r="D51" s="207" t="s">
        <v>257</v>
      </c>
      <c r="E51" s="237" t="s">
        <v>360</v>
      </c>
      <c r="F51" s="207" t="s">
        <v>308</v>
      </c>
      <c r="G51" s="207">
        <v>1</v>
      </c>
      <c r="H51" s="18">
        <v>4</v>
      </c>
      <c r="I51" s="209">
        <v>10</v>
      </c>
      <c r="J51" s="209"/>
      <c r="K51" s="102" t="s">
        <v>234</v>
      </c>
      <c r="L51" s="102"/>
      <c r="M51" s="13">
        <f>96.62/13.42</f>
        <v>7.1997019374068554</v>
      </c>
      <c r="N51" s="13">
        <f>'PRECIOS INSUMOS 2015'!C$5</f>
        <v>2</v>
      </c>
      <c r="O51" s="18">
        <f t="shared" si="5"/>
        <v>14.399403874813711</v>
      </c>
      <c r="P51" s="209">
        <f>G51/H51</f>
        <v>0.25</v>
      </c>
      <c r="Q51" s="81">
        <f t="shared" si="4"/>
        <v>20</v>
      </c>
      <c r="R51" s="226">
        <f t="shared" si="7"/>
        <v>0</v>
      </c>
      <c r="S51" s="306">
        <f t="shared" si="8"/>
        <v>34.399403874813714</v>
      </c>
    </row>
    <row r="52" spans="1:19" x14ac:dyDescent="0.2">
      <c r="A52" s="328" t="s">
        <v>374</v>
      </c>
      <c r="B52" s="254" t="s">
        <v>270</v>
      </c>
      <c r="C52" s="207">
        <v>71</v>
      </c>
      <c r="D52" s="207" t="s">
        <v>266</v>
      </c>
      <c r="E52" s="237" t="s">
        <v>271</v>
      </c>
      <c r="F52" s="207" t="s">
        <v>308</v>
      </c>
      <c r="G52" s="207">
        <v>1</v>
      </c>
      <c r="H52" s="18">
        <v>0.62</v>
      </c>
      <c r="I52" s="209"/>
      <c r="J52" s="209">
        <v>10</v>
      </c>
      <c r="K52" s="102"/>
      <c r="L52" s="102"/>
      <c r="M52" s="13"/>
      <c r="N52" s="13"/>
      <c r="O52" s="18">
        <f t="shared" si="5"/>
        <v>0</v>
      </c>
      <c r="P52" s="209">
        <f>G52/H52</f>
        <v>1.6129032258064517</v>
      </c>
      <c r="Q52" s="81">
        <f t="shared" si="4"/>
        <v>129.03225806451613</v>
      </c>
      <c r="R52" s="226">
        <f t="shared" si="7"/>
        <v>129.03225806451613</v>
      </c>
      <c r="S52" s="306">
        <f t="shared" si="8"/>
        <v>258.06451612903226</v>
      </c>
    </row>
    <row r="53" spans="1:19" x14ac:dyDescent="0.2">
      <c r="A53" s="328" t="s">
        <v>376</v>
      </c>
      <c r="B53" s="254" t="s">
        <v>263</v>
      </c>
      <c r="C53" s="207">
        <v>75</v>
      </c>
      <c r="D53" s="207" t="s">
        <v>257</v>
      </c>
      <c r="E53" s="237" t="s">
        <v>476</v>
      </c>
      <c r="F53" s="207" t="s">
        <v>308</v>
      </c>
      <c r="G53" s="207">
        <v>1</v>
      </c>
      <c r="H53" s="18"/>
      <c r="I53" s="209"/>
      <c r="J53" s="209"/>
      <c r="K53" s="102" t="s">
        <v>1367</v>
      </c>
      <c r="L53" s="102"/>
      <c r="M53" s="13">
        <v>0.35</v>
      </c>
      <c r="N53" s="13">
        <v>18</v>
      </c>
      <c r="O53" s="18">
        <f t="shared" si="5"/>
        <v>6.3</v>
      </c>
      <c r="P53" s="209"/>
      <c r="Q53" s="81">
        <f t="shared" si="4"/>
        <v>0</v>
      </c>
      <c r="R53" s="226">
        <f t="shared" si="7"/>
        <v>0</v>
      </c>
      <c r="S53" s="306">
        <f t="shared" si="8"/>
        <v>6.3</v>
      </c>
    </row>
    <row r="54" spans="1:19" x14ac:dyDescent="0.2">
      <c r="A54" s="348" t="s">
        <v>376</v>
      </c>
      <c r="B54" s="12" t="s">
        <v>592</v>
      </c>
      <c r="C54" s="1">
        <v>75</v>
      </c>
      <c r="D54" s="1" t="s">
        <v>257</v>
      </c>
      <c r="E54" s="294" t="s">
        <v>476</v>
      </c>
      <c r="F54" s="1" t="s">
        <v>308</v>
      </c>
      <c r="G54" s="1">
        <v>1</v>
      </c>
      <c r="H54" s="18">
        <v>1.7</v>
      </c>
      <c r="I54" s="209">
        <v>10</v>
      </c>
      <c r="J54" s="18"/>
      <c r="K54" s="102" t="s">
        <v>234</v>
      </c>
      <c r="L54" s="102"/>
      <c r="M54" s="13">
        <f>0.86*2</f>
        <v>1.72</v>
      </c>
      <c r="N54" s="13">
        <f>'PRECIOS INSUMOS 2015'!C$5</f>
        <v>2</v>
      </c>
      <c r="O54" s="18">
        <f t="shared" si="5"/>
        <v>3.44</v>
      </c>
      <c r="P54" s="18">
        <f>G54/H54</f>
        <v>0.58823529411764708</v>
      </c>
      <c r="Q54" s="81">
        <f t="shared" si="4"/>
        <v>47.058823529411768</v>
      </c>
      <c r="R54" s="226">
        <f t="shared" si="7"/>
        <v>0</v>
      </c>
      <c r="S54" s="57">
        <f t="shared" si="8"/>
        <v>50.498823529411766</v>
      </c>
    </row>
    <row r="55" spans="1:19" x14ac:dyDescent="0.2">
      <c r="A55" s="328" t="s">
        <v>377</v>
      </c>
      <c r="B55" s="254" t="s">
        <v>273</v>
      </c>
      <c r="C55" s="207">
        <v>80</v>
      </c>
      <c r="D55" s="207" t="s">
        <v>266</v>
      </c>
      <c r="E55" s="237" t="s">
        <v>272</v>
      </c>
      <c r="F55" s="207" t="s">
        <v>308</v>
      </c>
      <c r="G55" s="207">
        <v>1</v>
      </c>
      <c r="H55" s="209">
        <v>0.62</v>
      </c>
      <c r="I55" s="209"/>
      <c r="J55" s="209">
        <v>10</v>
      </c>
      <c r="K55" s="233"/>
      <c r="L55" s="233"/>
      <c r="M55" s="234"/>
      <c r="N55" s="234"/>
      <c r="O55" s="18">
        <f t="shared" si="5"/>
        <v>0</v>
      </c>
      <c r="P55" s="209">
        <f>G55/H55</f>
        <v>1.6129032258064517</v>
      </c>
      <c r="Q55" s="81">
        <f t="shared" si="4"/>
        <v>129.03225806451613</v>
      </c>
      <c r="R55" s="226">
        <f t="shared" si="7"/>
        <v>129.03225806451613</v>
      </c>
      <c r="S55" s="306">
        <f t="shared" si="8"/>
        <v>258.06451612903226</v>
      </c>
    </row>
    <row r="56" spans="1:19" x14ac:dyDescent="0.2">
      <c r="A56" s="328" t="s">
        <v>378</v>
      </c>
      <c r="B56" s="254" t="s">
        <v>491</v>
      </c>
      <c r="C56" s="207">
        <v>80</v>
      </c>
      <c r="D56" s="207" t="s">
        <v>266</v>
      </c>
      <c r="E56" s="237" t="s">
        <v>272</v>
      </c>
      <c r="F56" s="207" t="s">
        <v>308</v>
      </c>
      <c r="G56" s="207">
        <v>1</v>
      </c>
      <c r="H56" s="209">
        <v>0.62</v>
      </c>
      <c r="I56" s="209"/>
      <c r="J56" s="209">
        <v>10</v>
      </c>
      <c r="K56" s="233"/>
      <c r="L56" s="233"/>
      <c r="M56" s="234"/>
      <c r="N56" s="234"/>
      <c r="O56" s="209">
        <f t="shared" si="5"/>
        <v>0</v>
      </c>
      <c r="P56" s="209">
        <f>G56/H56</f>
        <v>1.6129032258064517</v>
      </c>
      <c r="Q56" s="81">
        <f t="shared" si="4"/>
        <v>129.03225806451613</v>
      </c>
      <c r="R56" s="226">
        <f t="shared" si="7"/>
        <v>129.03225806451613</v>
      </c>
      <c r="S56" s="306">
        <f t="shared" si="8"/>
        <v>258.06451612903226</v>
      </c>
    </row>
    <row r="57" spans="1:19" x14ac:dyDescent="0.2">
      <c r="A57" s="328" t="s">
        <v>379</v>
      </c>
      <c r="B57" s="254" t="s">
        <v>493</v>
      </c>
      <c r="C57" s="207">
        <v>87</v>
      </c>
      <c r="D57" s="207" t="s">
        <v>266</v>
      </c>
      <c r="E57" s="237" t="s">
        <v>268</v>
      </c>
      <c r="F57" s="207" t="s">
        <v>308</v>
      </c>
      <c r="G57" s="207">
        <v>1</v>
      </c>
      <c r="H57" s="18">
        <v>0.17</v>
      </c>
      <c r="I57" s="209"/>
      <c r="J57" s="209">
        <v>10</v>
      </c>
      <c r="K57" s="102" t="s">
        <v>987</v>
      </c>
      <c r="L57" s="102"/>
      <c r="M57" s="13">
        <v>0.25</v>
      </c>
      <c r="N57" s="13">
        <f>'PRECIOS INSUMOS 2015'!E$193</f>
        <v>1500</v>
      </c>
      <c r="O57" s="18">
        <f t="shared" si="5"/>
        <v>375</v>
      </c>
      <c r="P57" s="209">
        <f>G57/H57</f>
        <v>5.8823529411764701</v>
      </c>
      <c r="Q57" s="81">
        <f t="shared" si="4"/>
        <v>470.58823529411762</v>
      </c>
      <c r="R57" s="226">
        <f t="shared" si="7"/>
        <v>470.58823529411762</v>
      </c>
      <c r="S57" s="306">
        <f t="shared" si="8"/>
        <v>1316.1764705882351</v>
      </c>
    </row>
    <row r="58" spans="1:19" x14ac:dyDescent="0.2">
      <c r="A58" s="328" t="s">
        <v>380</v>
      </c>
      <c r="B58" s="254" t="s">
        <v>263</v>
      </c>
      <c r="C58" s="207">
        <v>89</v>
      </c>
      <c r="D58" s="207" t="s">
        <v>257</v>
      </c>
      <c r="E58" s="237" t="s">
        <v>476</v>
      </c>
      <c r="F58" s="207" t="s">
        <v>308</v>
      </c>
      <c r="G58" s="207">
        <v>1</v>
      </c>
      <c r="H58" s="18"/>
      <c r="I58" s="209"/>
      <c r="J58" s="209"/>
      <c r="K58" s="102" t="s">
        <v>1367</v>
      </c>
      <c r="L58" s="102"/>
      <c r="M58" s="13">
        <v>0.35</v>
      </c>
      <c r="N58" s="13">
        <v>18</v>
      </c>
      <c r="O58" s="18">
        <f t="shared" si="5"/>
        <v>6.3</v>
      </c>
      <c r="P58" s="209"/>
      <c r="Q58" s="81">
        <f t="shared" si="4"/>
        <v>0</v>
      </c>
      <c r="R58" s="226">
        <f t="shared" si="7"/>
        <v>0</v>
      </c>
      <c r="S58" s="306">
        <f t="shared" si="8"/>
        <v>6.3</v>
      </c>
    </row>
    <row r="59" spans="1:19" x14ac:dyDescent="0.2">
      <c r="A59" s="348" t="s">
        <v>380</v>
      </c>
      <c r="B59" s="12" t="s">
        <v>592</v>
      </c>
      <c r="C59" s="1">
        <v>89</v>
      </c>
      <c r="D59" s="1" t="s">
        <v>257</v>
      </c>
      <c r="E59" s="294" t="s">
        <v>476</v>
      </c>
      <c r="F59" s="1" t="s">
        <v>308</v>
      </c>
      <c r="G59" s="1">
        <v>1</v>
      </c>
      <c r="H59" s="18">
        <v>1.7</v>
      </c>
      <c r="I59" s="209">
        <v>10</v>
      </c>
      <c r="J59" s="18"/>
      <c r="K59" s="102" t="s">
        <v>234</v>
      </c>
      <c r="L59" s="102"/>
      <c r="M59" s="13">
        <f>0.86*2</f>
        <v>1.72</v>
      </c>
      <c r="N59" s="13">
        <f>'PRECIOS INSUMOS 2015'!C$5</f>
        <v>2</v>
      </c>
      <c r="O59" s="18">
        <f t="shared" si="5"/>
        <v>3.44</v>
      </c>
      <c r="P59" s="18">
        <f>G59/H59</f>
        <v>0.58823529411764708</v>
      </c>
      <c r="Q59" s="81">
        <f t="shared" si="4"/>
        <v>47.058823529411768</v>
      </c>
      <c r="R59" s="226">
        <f t="shared" si="7"/>
        <v>0</v>
      </c>
      <c r="S59" s="57">
        <f t="shared" si="8"/>
        <v>50.498823529411766</v>
      </c>
    </row>
    <row r="60" spans="1:19" x14ac:dyDescent="0.2">
      <c r="A60" s="328" t="s">
        <v>381</v>
      </c>
      <c r="B60" s="206" t="s">
        <v>495</v>
      </c>
      <c r="C60" s="207">
        <v>100</v>
      </c>
      <c r="D60" s="207" t="s">
        <v>266</v>
      </c>
      <c r="E60" s="237" t="s">
        <v>267</v>
      </c>
      <c r="F60" s="207" t="s">
        <v>308</v>
      </c>
      <c r="G60" s="207">
        <v>1</v>
      </c>
      <c r="H60" s="18">
        <v>0.5</v>
      </c>
      <c r="I60" s="209"/>
      <c r="J60" s="209">
        <v>10</v>
      </c>
      <c r="K60" s="102" t="s">
        <v>956</v>
      </c>
      <c r="L60" s="102"/>
      <c r="M60" s="13">
        <v>4</v>
      </c>
      <c r="N60" s="13">
        <f>'PRECIOS INSUMOS 2015'!C$100</f>
        <v>15</v>
      </c>
      <c r="O60" s="18">
        <f t="shared" si="5"/>
        <v>60</v>
      </c>
      <c r="P60" s="209">
        <f>G60/H60</f>
        <v>2</v>
      </c>
      <c r="Q60" s="81">
        <f t="shared" si="4"/>
        <v>160</v>
      </c>
      <c r="R60" s="226">
        <f t="shared" si="7"/>
        <v>160</v>
      </c>
      <c r="S60" s="306">
        <f t="shared" si="8"/>
        <v>380</v>
      </c>
    </row>
    <row r="61" spans="1:19" x14ac:dyDescent="0.2">
      <c r="A61" s="328" t="s">
        <v>382</v>
      </c>
      <c r="B61" s="254" t="s">
        <v>263</v>
      </c>
      <c r="C61" s="207">
        <v>110</v>
      </c>
      <c r="D61" s="207" t="s">
        <v>257</v>
      </c>
      <c r="E61" s="237" t="s">
        <v>476</v>
      </c>
      <c r="F61" s="207" t="s">
        <v>308</v>
      </c>
      <c r="G61" s="207">
        <v>1</v>
      </c>
      <c r="H61" s="18"/>
      <c r="I61" s="209"/>
      <c r="J61" s="209"/>
      <c r="K61" s="102" t="s">
        <v>1367</v>
      </c>
      <c r="L61" s="102"/>
      <c r="M61" s="13">
        <v>0.35</v>
      </c>
      <c r="N61" s="13">
        <v>18</v>
      </c>
      <c r="O61" s="18">
        <f t="shared" si="5"/>
        <v>6.3</v>
      </c>
      <c r="P61" s="209"/>
      <c r="Q61" s="81">
        <f t="shared" si="4"/>
        <v>0</v>
      </c>
      <c r="R61" s="226">
        <f t="shared" si="7"/>
        <v>0</v>
      </c>
      <c r="S61" s="306">
        <f t="shared" si="8"/>
        <v>6.3</v>
      </c>
    </row>
    <row r="62" spans="1:19" x14ac:dyDescent="0.2">
      <c r="A62" s="348" t="s">
        <v>382</v>
      </c>
      <c r="B62" s="12" t="s">
        <v>592</v>
      </c>
      <c r="C62" s="1">
        <v>110</v>
      </c>
      <c r="D62" s="1" t="s">
        <v>257</v>
      </c>
      <c r="E62" s="294" t="s">
        <v>476</v>
      </c>
      <c r="F62" s="1" t="s">
        <v>308</v>
      </c>
      <c r="G62" s="1">
        <v>1</v>
      </c>
      <c r="H62" s="18">
        <v>1.7</v>
      </c>
      <c r="I62" s="209">
        <v>10</v>
      </c>
      <c r="J62" s="18"/>
      <c r="K62" s="102" t="s">
        <v>234</v>
      </c>
      <c r="L62" s="102"/>
      <c r="M62" s="13">
        <f>0.86*2</f>
        <v>1.72</v>
      </c>
      <c r="N62" s="13">
        <f>'PRECIOS INSUMOS 2015'!C$5</f>
        <v>2</v>
      </c>
      <c r="O62" s="18">
        <f t="shared" si="5"/>
        <v>3.44</v>
      </c>
      <c r="P62" s="18">
        <f>G62/H62</f>
        <v>0.58823529411764708</v>
      </c>
      <c r="Q62" s="81">
        <f t="shared" si="4"/>
        <v>47.058823529411768</v>
      </c>
      <c r="R62" s="226">
        <f t="shared" si="7"/>
        <v>0</v>
      </c>
      <c r="S62" s="57">
        <f t="shared" si="8"/>
        <v>50.498823529411766</v>
      </c>
    </row>
    <row r="63" spans="1:19" x14ac:dyDescent="0.2">
      <c r="A63" s="328" t="s">
        <v>384</v>
      </c>
      <c r="B63" s="254" t="s">
        <v>273</v>
      </c>
      <c r="C63" s="207">
        <v>112</v>
      </c>
      <c r="D63" s="207" t="s">
        <v>266</v>
      </c>
      <c r="E63" s="237" t="s">
        <v>272</v>
      </c>
      <c r="F63" s="207" t="s">
        <v>308</v>
      </c>
      <c r="G63" s="207">
        <v>1</v>
      </c>
      <c r="H63" s="18">
        <v>0.62</v>
      </c>
      <c r="I63" s="209"/>
      <c r="J63" s="209">
        <v>10</v>
      </c>
      <c r="K63" s="102"/>
      <c r="L63" s="102"/>
      <c r="M63" s="13"/>
      <c r="N63" s="13"/>
      <c r="O63" s="18">
        <f t="shared" si="5"/>
        <v>0</v>
      </c>
      <c r="P63" s="209">
        <f>G63/H63</f>
        <v>1.6129032258064517</v>
      </c>
      <c r="Q63" s="81">
        <f t="shared" si="4"/>
        <v>129.03225806451613</v>
      </c>
      <c r="R63" s="226">
        <f t="shared" si="7"/>
        <v>129.03225806451613</v>
      </c>
      <c r="S63" s="306">
        <f t="shared" si="8"/>
        <v>258.06451612903226</v>
      </c>
    </row>
    <row r="64" spans="1:19" x14ac:dyDescent="0.2">
      <c r="A64" s="328" t="s">
        <v>383</v>
      </c>
      <c r="B64" s="254" t="s">
        <v>491</v>
      </c>
      <c r="C64" s="207">
        <v>112</v>
      </c>
      <c r="D64" s="207" t="s">
        <v>266</v>
      </c>
      <c r="E64" s="237" t="s">
        <v>272</v>
      </c>
      <c r="F64" s="207" t="s">
        <v>308</v>
      </c>
      <c r="G64" s="207">
        <v>1</v>
      </c>
      <c r="H64" s="18">
        <v>0.62</v>
      </c>
      <c r="I64" s="209"/>
      <c r="J64" s="209">
        <v>10</v>
      </c>
      <c r="K64" s="102"/>
      <c r="L64" s="102"/>
      <c r="M64" s="13"/>
      <c r="N64" s="13"/>
      <c r="O64" s="18">
        <f t="shared" si="5"/>
        <v>0</v>
      </c>
      <c r="P64" s="209">
        <f>G64/H64</f>
        <v>1.6129032258064517</v>
      </c>
      <c r="Q64" s="81">
        <f t="shared" si="4"/>
        <v>129.03225806451613</v>
      </c>
      <c r="R64" s="226">
        <f t="shared" si="7"/>
        <v>129.03225806451613</v>
      </c>
      <c r="S64" s="306">
        <f t="shared" si="8"/>
        <v>258.06451612903226</v>
      </c>
    </row>
    <row r="65" spans="1:19" x14ac:dyDescent="0.2">
      <c r="A65" s="328" t="s">
        <v>386</v>
      </c>
      <c r="B65" s="254" t="s">
        <v>263</v>
      </c>
      <c r="C65" s="207">
        <v>130</v>
      </c>
      <c r="D65" s="207" t="s">
        <v>257</v>
      </c>
      <c r="E65" s="237" t="s">
        <v>476</v>
      </c>
      <c r="F65" s="207" t="s">
        <v>308</v>
      </c>
      <c r="G65" s="207">
        <v>1</v>
      </c>
      <c r="H65" s="18"/>
      <c r="I65" s="209"/>
      <c r="J65" s="241"/>
      <c r="K65" s="102" t="s">
        <v>1367</v>
      </c>
      <c r="L65" s="102"/>
      <c r="M65" s="13">
        <v>0.35</v>
      </c>
      <c r="N65" s="13">
        <v>18</v>
      </c>
      <c r="O65" s="18">
        <f t="shared" si="5"/>
        <v>6.3</v>
      </c>
      <c r="P65" s="209"/>
      <c r="Q65" s="81">
        <f t="shared" si="4"/>
        <v>0</v>
      </c>
      <c r="R65" s="226">
        <f t="shared" si="7"/>
        <v>0</v>
      </c>
      <c r="S65" s="306">
        <f t="shared" si="8"/>
        <v>6.3</v>
      </c>
    </row>
    <row r="66" spans="1:19" x14ac:dyDescent="0.2">
      <c r="A66" s="348" t="s">
        <v>386</v>
      </c>
      <c r="B66" s="12" t="s">
        <v>592</v>
      </c>
      <c r="C66" s="1">
        <v>130</v>
      </c>
      <c r="D66" s="1" t="s">
        <v>257</v>
      </c>
      <c r="E66" s="294" t="s">
        <v>476</v>
      </c>
      <c r="F66" s="1" t="s">
        <v>308</v>
      </c>
      <c r="G66" s="1">
        <v>1</v>
      </c>
      <c r="H66" s="18">
        <v>1.7</v>
      </c>
      <c r="I66" s="209">
        <v>10</v>
      </c>
      <c r="J66" s="251"/>
      <c r="K66" s="102" t="s">
        <v>234</v>
      </c>
      <c r="L66" s="102"/>
      <c r="M66" s="13">
        <f>0.86*2</f>
        <v>1.72</v>
      </c>
      <c r="N66" s="13">
        <f>'PRECIOS INSUMOS 2015'!C$5</f>
        <v>2</v>
      </c>
      <c r="O66" s="18">
        <f t="shared" si="5"/>
        <v>3.44</v>
      </c>
      <c r="P66" s="18">
        <f t="shared" ref="P66:P71" si="9">G66/H66</f>
        <v>0.58823529411764708</v>
      </c>
      <c r="Q66" s="81">
        <f t="shared" si="4"/>
        <v>47.058823529411768</v>
      </c>
      <c r="R66" s="226">
        <f t="shared" si="7"/>
        <v>0</v>
      </c>
      <c r="S66" s="57">
        <f t="shared" si="8"/>
        <v>50.498823529411766</v>
      </c>
    </row>
    <row r="67" spans="1:19" x14ac:dyDescent="0.2">
      <c r="A67" s="328" t="s">
        <v>387</v>
      </c>
      <c r="B67" s="206" t="s">
        <v>495</v>
      </c>
      <c r="C67" s="207">
        <v>132</v>
      </c>
      <c r="D67" s="207" t="s">
        <v>266</v>
      </c>
      <c r="E67" s="237" t="s">
        <v>267</v>
      </c>
      <c r="F67" s="207" t="s">
        <v>308</v>
      </c>
      <c r="G67" s="207">
        <v>1</v>
      </c>
      <c r="H67" s="18">
        <v>0.5</v>
      </c>
      <c r="I67" s="209"/>
      <c r="J67" s="209">
        <v>10</v>
      </c>
      <c r="K67" s="102" t="s">
        <v>956</v>
      </c>
      <c r="L67" s="102"/>
      <c r="M67" s="13">
        <v>4</v>
      </c>
      <c r="N67" s="13">
        <f>'PRECIOS INSUMOS 2015'!C$100</f>
        <v>15</v>
      </c>
      <c r="O67" s="18">
        <f t="shared" si="5"/>
        <v>60</v>
      </c>
      <c r="P67" s="209">
        <f t="shared" si="9"/>
        <v>2</v>
      </c>
      <c r="Q67" s="81">
        <f t="shared" si="4"/>
        <v>160</v>
      </c>
      <c r="R67" s="226">
        <f t="shared" si="7"/>
        <v>160</v>
      </c>
      <c r="S67" s="306">
        <f t="shared" si="8"/>
        <v>380</v>
      </c>
    </row>
    <row r="68" spans="1:19" x14ac:dyDescent="0.2">
      <c r="A68" s="328" t="s">
        <v>391</v>
      </c>
      <c r="B68" s="254" t="s">
        <v>273</v>
      </c>
      <c r="C68" s="207">
        <v>140</v>
      </c>
      <c r="D68" s="207" t="s">
        <v>266</v>
      </c>
      <c r="E68" s="237" t="s">
        <v>272</v>
      </c>
      <c r="F68" s="207" t="s">
        <v>308</v>
      </c>
      <c r="G68" s="207">
        <v>1</v>
      </c>
      <c r="H68" s="18">
        <v>0.62</v>
      </c>
      <c r="I68" s="209"/>
      <c r="J68" s="209">
        <v>10</v>
      </c>
      <c r="K68" s="102"/>
      <c r="L68" s="102"/>
      <c r="M68" s="13"/>
      <c r="N68" s="13"/>
      <c r="O68" s="18">
        <f t="shared" si="5"/>
        <v>0</v>
      </c>
      <c r="P68" s="209">
        <f t="shared" si="9"/>
        <v>1.6129032258064517</v>
      </c>
      <c r="Q68" s="81">
        <f t="shared" si="4"/>
        <v>129.03225806451613</v>
      </c>
      <c r="R68" s="226">
        <f t="shared" si="7"/>
        <v>129.03225806451613</v>
      </c>
      <c r="S68" s="306">
        <f t="shared" si="8"/>
        <v>258.06451612903226</v>
      </c>
    </row>
    <row r="69" spans="1:19" x14ac:dyDescent="0.2">
      <c r="A69" s="328" t="s">
        <v>389</v>
      </c>
      <c r="B69" s="254" t="s">
        <v>491</v>
      </c>
      <c r="C69" s="207">
        <v>140</v>
      </c>
      <c r="D69" s="207" t="s">
        <v>266</v>
      </c>
      <c r="E69" s="237" t="s">
        <v>272</v>
      </c>
      <c r="F69" s="207" t="s">
        <v>308</v>
      </c>
      <c r="G69" s="207">
        <v>1</v>
      </c>
      <c r="H69" s="18">
        <v>0.62</v>
      </c>
      <c r="I69" s="209"/>
      <c r="J69" s="209">
        <v>10</v>
      </c>
      <c r="K69" s="102"/>
      <c r="L69" s="102"/>
      <c r="M69" s="13"/>
      <c r="N69" s="13"/>
      <c r="O69" s="18">
        <f t="shared" si="5"/>
        <v>0</v>
      </c>
      <c r="P69" s="209">
        <f t="shared" si="9"/>
        <v>1.6129032258064517</v>
      </c>
      <c r="Q69" s="81">
        <f t="shared" si="4"/>
        <v>129.03225806451613</v>
      </c>
      <c r="R69" s="226">
        <f t="shared" si="7"/>
        <v>129.03225806451613</v>
      </c>
      <c r="S69" s="306">
        <f t="shared" si="8"/>
        <v>258.06451612903226</v>
      </c>
    </row>
    <row r="70" spans="1:19" x14ac:dyDescent="0.2">
      <c r="A70" s="328" t="s">
        <v>395</v>
      </c>
      <c r="B70" s="254" t="s">
        <v>494</v>
      </c>
      <c r="C70" s="207">
        <v>141</v>
      </c>
      <c r="D70" s="207" t="s">
        <v>266</v>
      </c>
      <c r="E70" s="237" t="s">
        <v>268</v>
      </c>
      <c r="F70" s="207" t="s">
        <v>308</v>
      </c>
      <c r="G70" s="207">
        <v>1</v>
      </c>
      <c r="H70" s="18">
        <v>0.17</v>
      </c>
      <c r="I70" s="209"/>
      <c r="J70" s="209">
        <v>10</v>
      </c>
      <c r="K70" s="102" t="s">
        <v>524</v>
      </c>
      <c r="L70" s="102"/>
      <c r="M70" s="13">
        <v>1.5</v>
      </c>
      <c r="N70" s="13">
        <v>454.59</v>
      </c>
      <c r="O70" s="18">
        <f t="shared" si="5"/>
        <v>681.88499999999999</v>
      </c>
      <c r="P70" s="209">
        <f t="shared" si="9"/>
        <v>5.8823529411764701</v>
      </c>
      <c r="Q70" s="81">
        <f t="shared" si="4"/>
        <v>470.58823529411762</v>
      </c>
      <c r="R70" s="226">
        <f t="shared" si="7"/>
        <v>470.58823529411762</v>
      </c>
      <c r="S70" s="306">
        <f t="shared" si="8"/>
        <v>1623.0614705882354</v>
      </c>
    </row>
    <row r="71" spans="1:19" ht="13.5" thickBot="1" x14ac:dyDescent="0.25">
      <c r="A71" s="328" t="s">
        <v>393</v>
      </c>
      <c r="B71" s="254" t="s">
        <v>493</v>
      </c>
      <c r="C71" s="207">
        <v>141</v>
      </c>
      <c r="D71" s="207" t="s">
        <v>266</v>
      </c>
      <c r="E71" s="237" t="s">
        <v>268</v>
      </c>
      <c r="F71" s="207" t="s">
        <v>308</v>
      </c>
      <c r="G71" s="207">
        <v>1</v>
      </c>
      <c r="H71" s="59">
        <v>0.17</v>
      </c>
      <c r="I71" s="209"/>
      <c r="J71" s="209">
        <v>10</v>
      </c>
      <c r="K71" s="102" t="s">
        <v>987</v>
      </c>
      <c r="L71" s="102"/>
      <c r="M71" s="13">
        <v>0.25</v>
      </c>
      <c r="N71" s="13">
        <f>'PRECIOS INSUMOS 2015'!E$193</f>
        <v>1500</v>
      </c>
      <c r="O71" s="59">
        <f t="shared" si="5"/>
        <v>375</v>
      </c>
      <c r="P71" s="247">
        <f t="shared" si="9"/>
        <v>5.8823529411764701</v>
      </c>
      <c r="Q71" s="81">
        <f t="shared" si="4"/>
        <v>470.58823529411762</v>
      </c>
      <c r="R71" s="56">
        <f t="shared" si="7"/>
        <v>470.58823529411762</v>
      </c>
      <c r="S71" s="247">
        <f t="shared" si="8"/>
        <v>1316.1764705882351</v>
      </c>
    </row>
    <row r="72" spans="1:19" x14ac:dyDescent="0.2">
      <c r="A72" s="328" t="s">
        <v>396</v>
      </c>
      <c r="B72" s="254" t="s">
        <v>263</v>
      </c>
      <c r="C72" s="207">
        <v>142</v>
      </c>
      <c r="D72" s="207" t="s">
        <v>257</v>
      </c>
      <c r="E72" s="237" t="s">
        <v>476</v>
      </c>
      <c r="F72" s="207" t="s">
        <v>308</v>
      </c>
      <c r="G72" s="207">
        <v>1</v>
      </c>
      <c r="H72" s="57"/>
      <c r="I72" s="306"/>
      <c r="J72" s="209"/>
      <c r="K72" s="102" t="s">
        <v>1367</v>
      </c>
      <c r="L72" s="103"/>
      <c r="M72" s="47">
        <v>0.35</v>
      </c>
      <c r="N72" s="13">
        <v>18</v>
      </c>
      <c r="O72" s="57">
        <f t="shared" si="5"/>
        <v>6.3</v>
      </c>
      <c r="P72" s="306"/>
      <c r="Q72" s="81">
        <f t="shared" si="4"/>
        <v>0</v>
      </c>
      <c r="R72" s="354">
        <f t="shared" si="7"/>
        <v>0</v>
      </c>
      <c r="S72" s="306">
        <f t="shared" si="8"/>
        <v>6.3</v>
      </c>
    </row>
    <row r="73" spans="1:19" x14ac:dyDescent="0.2">
      <c r="A73" s="348" t="s">
        <v>396</v>
      </c>
      <c r="B73" s="12" t="s">
        <v>592</v>
      </c>
      <c r="C73" s="1">
        <v>142</v>
      </c>
      <c r="D73" s="1" t="s">
        <v>257</v>
      </c>
      <c r="E73" s="294" t="s">
        <v>476</v>
      </c>
      <c r="F73" s="1" t="s">
        <v>308</v>
      </c>
      <c r="G73" s="1">
        <v>1</v>
      </c>
      <c r="H73" s="18">
        <v>1.7</v>
      </c>
      <c r="I73" s="209">
        <v>10</v>
      </c>
      <c r="J73" s="18"/>
      <c r="K73" s="102" t="s">
        <v>234</v>
      </c>
      <c r="L73" s="102"/>
      <c r="M73" s="13">
        <f>0.86*2</f>
        <v>1.72</v>
      </c>
      <c r="N73" s="13">
        <f>'PRECIOS INSUMOS 2015'!C$5</f>
        <v>2</v>
      </c>
      <c r="O73" s="18">
        <f t="shared" ref="O73:O104" si="10">N73*M73</f>
        <v>3.44</v>
      </c>
      <c r="P73" s="18">
        <f>G73/H73</f>
        <v>0.58823529411764708</v>
      </c>
      <c r="Q73" s="81">
        <f t="shared" si="4"/>
        <v>47.058823529411768</v>
      </c>
      <c r="R73" s="226">
        <f t="shared" ref="R73:R104" si="11">J73*P73*8</f>
        <v>0</v>
      </c>
      <c r="S73" s="57">
        <f t="shared" ref="S73:S104" si="12">R73+Q73+O73</f>
        <v>50.498823529411766</v>
      </c>
    </row>
    <row r="74" spans="1:19" x14ac:dyDescent="0.2">
      <c r="A74" s="328" t="s">
        <v>397</v>
      </c>
      <c r="B74" s="254" t="s">
        <v>263</v>
      </c>
      <c r="C74" s="207">
        <v>158</v>
      </c>
      <c r="D74" s="207" t="s">
        <v>257</v>
      </c>
      <c r="E74" s="237" t="s">
        <v>476</v>
      </c>
      <c r="F74" s="207" t="s">
        <v>308</v>
      </c>
      <c r="G74" s="207">
        <v>1</v>
      </c>
      <c r="H74" s="18"/>
      <c r="I74" s="209"/>
      <c r="J74" s="241"/>
      <c r="K74" s="102" t="s">
        <v>1367</v>
      </c>
      <c r="L74" s="102"/>
      <c r="M74" s="13">
        <v>0.35</v>
      </c>
      <c r="N74" s="13">
        <v>18</v>
      </c>
      <c r="O74" s="18">
        <f t="shared" si="10"/>
        <v>6.3</v>
      </c>
      <c r="P74" s="209"/>
      <c r="Q74" s="81">
        <f t="shared" ref="Q74:Q125" si="13">(I74+J74)*P74*8</f>
        <v>0</v>
      </c>
      <c r="R74" s="226">
        <f t="shared" si="11"/>
        <v>0</v>
      </c>
      <c r="S74" s="306">
        <f t="shared" si="12"/>
        <v>6.3</v>
      </c>
    </row>
    <row r="75" spans="1:19" x14ac:dyDescent="0.2">
      <c r="A75" s="348" t="s">
        <v>397</v>
      </c>
      <c r="B75" s="12" t="s">
        <v>592</v>
      </c>
      <c r="C75" s="1">
        <v>158</v>
      </c>
      <c r="D75" s="1" t="s">
        <v>257</v>
      </c>
      <c r="E75" s="294" t="s">
        <v>476</v>
      </c>
      <c r="F75" s="1" t="s">
        <v>308</v>
      </c>
      <c r="G75" s="1">
        <v>1</v>
      </c>
      <c r="H75" s="18">
        <v>1.7</v>
      </c>
      <c r="I75" s="209">
        <v>10</v>
      </c>
      <c r="J75" s="251"/>
      <c r="K75" s="102" t="s">
        <v>234</v>
      </c>
      <c r="L75" s="102"/>
      <c r="M75" s="13">
        <f>0.86*2</f>
        <v>1.72</v>
      </c>
      <c r="N75" s="13">
        <f>'PRECIOS INSUMOS 2015'!C$5</f>
        <v>2</v>
      </c>
      <c r="O75" s="18">
        <f t="shared" si="10"/>
        <v>3.44</v>
      </c>
      <c r="P75" s="18">
        <f>G75/H75</f>
        <v>0.58823529411764708</v>
      </c>
      <c r="Q75" s="81">
        <f t="shared" si="13"/>
        <v>47.058823529411768</v>
      </c>
      <c r="R75" s="226">
        <f t="shared" si="11"/>
        <v>0</v>
      </c>
      <c r="S75" s="57">
        <f t="shared" si="12"/>
        <v>50.498823529411766</v>
      </c>
    </row>
    <row r="76" spans="1:19" x14ac:dyDescent="0.2">
      <c r="A76" s="328" t="s">
        <v>399</v>
      </c>
      <c r="B76" s="254" t="s">
        <v>273</v>
      </c>
      <c r="C76" s="207">
        <v>160</v>
      </c>
      <c r="D76" s="207" t="s">
        <v>266</v>
      </c>
      <c r="E76" s="237" t="s">
        <v>272</v>
      </c>
      <c r="F76" s="207" t="s">
        <v>308</v>
      </c>
      <c r="G76" s="207">
        <v>1</v>
      </c>
      <c r="H76" s="18">
        <v>0.62</v>
      </c>
      <c r="I76" s="209"/>
      <c r="J76" s="209">
        <v>10</v>
      </c>
      <c r="K76" s="102"/>
      <c r="L76" s="102"/>
      <c r="M76" s="13"/>
      <c r="N76" s="13"/>
      <c r="O76" s="18">
        <f t="shared" si="10"/>
        <v>0</v>
      </c>
      <c r="P76" s="209">
        <f>G76/H76</f>
        <v>1.6129032258064517</v>
      </c>
      <c r="Q76" s="81">
        <f t="shared" si="13"/>
        <v>129.03225806451613</v>
      </c>
      <c r="R76" s="226">
        <f t="shared" si="11"/>
        <v>129.03225806451613</v>
      </c>
      <c r="S76" s="306">
        <f t="shared" si="12"/>
        <v>258.06451612903226</v>
      </c>
    </row>
    <row r="77" spans="1:19" x14ac:dyDescent="0.2">
      <c r="A77" s="328" t="s">
        <v>398</v>
      </c>
      <c r="B77" s="254" t="s">
        <v>491</v>
      </c>
      <c r="C77" s="207">
        <v>160</v>
      </c>
      <c r="D77" s="207" t="s">
        <v>266</v>
      </c>
      <c r="E77" s="237" t="s">
        <v>272</v>
      </c>
      <c r="F77" s="207" t="s">
        <v>308</v>
      </c>
      <c r="G77" s="207">
        <v>1</v>
      </c>
      <c r="H77" s="18">
        <v>0.62</v>
      </c>
      <c r="I77" s="209"/>
      <c r="J77" s="209">
        <v>10</v>
      </c>
      <c r="K77" s="102"/>
      <c r="L77" s="102"/>
      <c r="M77" s="13"/>
      <c r="N77" s="13"/>
      <c r="O77" s="18">
        <f t="shared" si="10"/>
        <v>0</v>
      </c>
      <c r="P77" s="209">
        <f>G77/H77</f>
        <v>1.6129032258064517</v>
      </c>
      <c r="Q77" s="81">
        <f t="shared" si="13"/>
        <v>129.03225806451613</v>
      </c>
      <c r="R77" s="226">
        <f t="shared" si="11"/>
        <v>129.03225806451613</v>
      </c>
      <c r="S77" s="306">
        <f t="shared" si="12"/>
        <v>258.06451612903226</v>
      </c>
    </row>
    <row r="78" spans="1:19" x14ac:dyDescent="0.2">
      <c r="A78" s="328" t="s">
        <v>401</v>
      </c>
      <c r="B78" s="206" t="s">
        <v>496</v>
      </c>
      <c r="C78" s="207">
        <v>162</v>
      </c>
      <c r="D78" s="207" t="s">
        <v>266</v>
      </c>
      <c r="E78" s="237" t="s">
        <v>267</v>
      </c>
      <c r="F78" s="207" t="s">
        <v>308</v>
      </c>
      <c r="G78" s="207">
        <v>1</v>
      </c>
      <c r="H78" s="18">
        <v>0.5</v>
      </c>
      <c r="I78" s="209"/>
      <c r="J78" s="209">
        <v>10</v>
      </c>
      <c r="K78" s="102" t="s">
        <v>511</v>
      </c>
      <c r="L78" s="102"/>
      <c r="M78" s="13">
        <v>2</v>
      </c>
      <c r="N78" s="13">
        <v>9.9700000000000006</v>
      </c>
      <c r="O78" s="18">
        <f t="shared" si="10"/>
        <v>19.940000000000001</v>
      </c>
      <c r="P78" s="209">
        <f>G78/H78</f>
        <v>2</v>
      </c>
      <c r="Q78" s="81">
        <f t="shared" si="13"/>
        <v>160</v>
      </c>
      <c r="R78" s="226">
        <f t="shared" si="11"/>
        <v>160</v>
      </c>
      <c r="S78" s="306">
        <f t="shared" si="12"/>
        <v>339.94</v>
      </c>
    </row>
    <row r="79" spans="1:19" x14ac:dyDescent="0.2">
      <c r="A79" s="328" t="s">
        <v>402</v>
      </c>
      <c r="B79" s="254" t="s">
        <v>263</v>
      </c>
      <c r="C79" s="207">
        <v>172</v>
      </c>
      <c r="D79" s="207" t="s">
        <v>257</v>
      </c>
      <c r="E79" s="237" t="s">
        <v>476</v>
      </c>
      <c r="F79" s="207" t="s">
        <v>308</v>
      </c>
      <c r="G79" s="207">
        <v>1</v>
      </c>
      <c r="H79" s="18"/>
      <c r="I79" s="209"/>
      <c r="J79" s="209"/>
      <c r="K79" s="102" t="s">
        <v>1367</v>
      </c>
      <c r="L79" s="102"/>
      <c r="M79" s="13">
        <v>0.35</v>
      </c>
      <c r="N79" s="13">
        <v>18</v>
      </c>
      <c r="O79" s="18">
        <f t="shared" si="10"/>
        <v>6.3</v>
      </c>
      <c r="P79" s="209"/>
      <c r="Q79" s="81">
        <f t="shared" si="13"/>
        <v>0</v>
      </c>
      <c r="R79" s="226">
        <f t="shared" si="11"/>
        <v>0</v>
      </c>
      <c r="S79" s="306">
        <f t="shared" si="12"/>
        <v>6.3</v>
      </c>
    </row>
    <row r="80" spans="1:19" x14ac:dyDescent="0.2">
      <c r="A80" s="348" t="s">
        <v>402</v>
      </c>
      <c r="B80" s="12" t="s">
        <v>592</v>
      </c>
      <c r="C80" s="1">
        <v>172</v>
      </c>
      <c r="D80" s="1" t="s">
        <v>257</v>
      </c>
      <c r="E80" s="294" t="s">
        <v>476</v>
      </c>
      <c r="F80" s="1" t="s">
        <v>308</v>
      </c>
      <c r="G80" s="1">
        <v>1</v>
      </c>
      <c r="H80" s="18">
        <v>1.7</v>
      </c>
      <c r="I80" s="209">
        <v>10</v>
      </c>
      <c r="J80" s="18"/>
      <c r="K80" s="102" t="s">
        <v>234</v>
      </c>
      <c r="L80" s="102"/>
      <c r="M80" s="13">
        <f>0.86*2</f>
        <v>1.72</v>
      </c>
      <c r="N80" s="13">
        <f>'PRECIOS INSUMOS 2015'!C$5</f>
        <v>2</v>
      </c>
      <c r="O80" s="18">
        <f t="shared" si="10"/>
        <v>3.44</v>
      </c>
      <c r="P80" s="18">
        <f>G80/H80</f>
        <v>0.58823529411764708</v>
      </c>
      <c r="Q80" s="81">
        <f t="shared" si="13"/>
        <v>47.058823529411768</v>
      </c>
      <c r="R80" s="226">
        <f t="shared" si="11"/>
        <v>0</v>
      </c>
      <c r="S80" s="57">
        <f t="shared" si="12"/>
        <v>50.498823529411766</v>
      </c>
    </row>
    <row r="81" spans="1:19" x14ac:dyDescent="0.2">
      <c r="A81" s="328" t="s">
        <v>403</v>
      </c>
      <c r="B81" s="254" t="s">
        <v>493</v>
      </c>
      <c r="C81" s="207">
        <v>181</v>
      </c>
      <c r="D81" s="207" t="s">
        <v>266</v>
      </c>
      <c r="E81" s="237" t="s">
        <v>268</v>
      </c>
      <c r="F81" s="207" t="s">
        <v>308</v>
      </c>
      <c r="G81" s="207">
        <v>1</v>
      </c>
      <c r="H81" s="18">
        <v>0.17</v>
      </c>
      <c r="I81" s="209"/>
      <c r="J81" s="209">
        <v>10</v>
      </c>
      <c r="K81" s="102" t="s">
        <v>987</v>
      </c>
      <c r="L81" s="102"/>
      <c r="M81" s="13">
        <v>0.25</v>
      </c>
      <c r="N81" s="13">
        <f>'PRECIOS INSUMOS 2015'!E$193</f>
        <v>1500</v>
      </c>
      <c r="O81" s="18">
        <f t="shared" si="10"/>
        <v>375</v>
      </c>
      <c r="P81" s="209">
        <f>G81/H81</f>
        <v>5.8823529411764701</v>
      </c>
      <c r="Q81" s="81">
        <f t="shared" si="13"/>
        <v>470.58823529411762</v>
      </c>
      <c r="R81" s="226">
        <f t="shared" si="11"/>
        <v>470.58823529411762</v>
      </c>
      <c r="S81" s="306">
        <f t="shared" si="12"/>
        <v>1316.1764705882351</v>
      </c>
    </row>
    <row r="82" spans="1:19" s="352" customFormat="1" x14ac:dyDescent="0.2">
      <c r="A82" s="355" t="s">
        <v>404</v>
      </c>
      <c r="B82" s="298" t="s">
        <v>263</v>
      </c>
      <c r="C82" s="213">
        <v>183</v>
      </c>
      <c r="D82" s="213" t="s">
        <v>257</v>
      </c>
      <c r="E82" s="217" t="s">
        <v>476</v>
      </c>
      <c r="F82" s="213" t="s">
        <v>308</v>
      </c>
      <c r="G82" s="213">
        <v>1</v>
      </c>
      <c r="H82" s="104"/>
      <c r="I82" s="219"/>
      <c r="J82" s="219"/>
      <c r="K82" s="102" t="s">
        <v>1367</v>
      </c>
      <c r="L82" s="105"/>
      <c r="M82" s="14">
        <v>0.35</v>
      </c>
      <c r="N82" s="13">
        <v>18</v>
      </c>
      <c r="O82" s="104">
        <f t="shared" si="10"/>
        <v>6.3</v>
      </c>
      <c r="P82" s="219"/>
      <c r="Q82" s="299">
        <f t="shared" si="13"/>
        <v>0</v>
      </c>
      <c r="R82" s="356">
        <f t="shared" si="11"/>
        <v>0</v>
      </c>
      <c r="S82" s="357">
        <f t="shared" si="12"/>
        <v>6.3</v>
      </c>
    </row>
    <row r="83" spans="1:19" x14ac:dyDescent="0.2">
      <c r="A83" s="358" t="s">
        <v>404</v>
      </c>
      <c r="B83" s="359" t="s">
        <v>592</v>
      </c>
      <c r="C83" s="44">
        <v>183</v>
      </c>
      <c r="D83" s="44" t="s">
        <v>257</v>
      </c>
      <c r="E83" s="360" t="s">
        <v>476</v>
      </c>
      <c r="F83" s="44" t="s">
        <v>308</v>
      </c>
      <c r="G83" s="44">
        <v>1</v>
      </c>
      <c r="H83" s="57">
        <v>1.7</v>
      </c>
      <c r="I83" s="209">
        <v>10</v>
      </c>
      <c r="J83" s="57"/>
      <c r="K83" s="103" t="s">
        <v>234</v>
      </c>
      <c r="L83" s="103"/>
      <c r="M83" s="47">
        <f>0.86*2</f>
        <v>1.72</v>
      </c>
      <c r="N83" s="13">
        <f>'PRECIOS INSUMOS 2015'!C$5</f>
        <v>2</v>
      </c>
      <c r="O83" s="57">
        <f t="shared" si="10"/>
        <v>3.44</v>
      </c>
      <c r="P83" s="57">
        <f>G83/H83</f>
        <v>0.58823529411764708</v>
      </c>
      <c r="Q83" s="308">
        <f t="shared" si="13"/>
        <v>47.058823529411768</v>
      </c>
      <c r="R83" s="354">
        <f t="shared" si="11"/>
        <v>0</v>
      </c>
      <c r="S83" s="57">
        <f t="shared" si="12"/>
        <v>50.498823529411766</v>
      </c>
    </row>
    <row r="84" spans="1:19" x14ac:dyDescent="0.2">
      <c r="A84" s="328" t="s">
        <v>406</v>
      </c>
      <c r="B84" s="254" t="s">
        <v>273</v>
      </c>
      <c r="C84" s="207">
        <v>188</v>
      </c>
      <c r="D84" s="207" t="s">
        <v>266</v>
      </c>
      <c r="E84" s="237" t="s">
        <v>272</v>
      </c>
      <c r="F84" s="207" t="s">
        <v>308</v>
      </c>
      <c r="G84" s="207">
        <v>1</v>
      </c>
      <c r="H84" s="18">
        <v>0.62</v>
      </c>
      <c r="I84" s="209"/>
      <c r="J84" s="209">
        <v>10</v>
      </c>
      <c r="K84" s="102"/>
      <c r="L84" s="102"/>
      <c r="M84" s="13"/>
      <c r="N84" s="13"/>
      <c r="O84" s="18">
        <f t="shared" si="10"/>
        <v>0</v>
      </c>
      <c r="P84" s="209">
        <f>G84/H84</f>
        <v>1.6129032258064517</v>
      </c>
      <c r="Q84" s="81">
        <f t="shared" si="13"/>
        <v>129.03225806451613</v>
      </c>
      <c r="R84" s="226">
        <f t="shared" si="11"/>
        <v>129.03225806451613</v>
      </c>
      <c r="S84" s="306">
        <f t="shared" si="12"/>
        <v>258.06451612903226</v>
      </c>
    </row>
    <row r="85" spans="1:19" x14ac:dyDescent="0.2">
      <c r="A85" s="328" t="s">
        <v>405</v>
      </c>
      <c r="B85" s="254" t="s">
        <v>491</v>
      </c>
      <c r="C85" s="207">
        <v>188</v>
      </c>
      <c r="D85" s="207" t="s">
        <v>266</v>
      </c>
      <c r="E85" s="237" t="s">
        <v>272</v>
      </c>
      <c r="F85" s="207" t="s">
        <v>308</v>
      </c>
      <c r="G85" s="207">
        <v>1</v>
      </c>
      <c r="H85" s="18">
        <v>0.62</v>
      </c>
      <c r="I85" s="209"/>
      <c r="J85" s="209">
        <v>10</v>
      </c>
      <c r="K85" s="102"/>
      <c r="L85" s="102"/>
      <c r="M85" s="13"/>
      <c r="N85" s="13"/>
      <c r="O85" s="18">
        <f t="shared" si="10"/>
        <v>0</v>
      </c>
      <c r="P85" s="209">
        <f>G85/H85</f>
        <v>1.6129032258064517</v>
      </c>
      <c r="Q85" s="81">
        <f t="shared" si="13"/>
        <v>129.03225806451613</v>
      </c>
      <c r="R85" s="226">
        <f t="shared" si="11"/>
        <v>129.03225806451613</v>
      </c>
      <c r="S85" s="306">
        <f t="shared" si="12"/>
        <v>258.06451612903226</v>
      </c>
    </row>
    <row r="86" spans="1:19" x14ac:dyDescent="0.2">
      <c r="A86" s="328" t="s">
        <v>407</v>
      </c>
      <c r="B86" s="206" t="s">
        <v>496</v>
      </c>
      <c r="C86" s="207">
        <v>195</v>
      </c>
      <c r="D86" s="207" t="s">
        <v>266</v>
      </c>
      <c r="E86" s="237" t="s">
        <v>267</v>
      </c>
      <c r="F86" s="207" t="s">
        <v>308</v>
      </c>
      <c r="G86" s="207">
        <v>1</v>
      </c>
      <c r="H86" s="18">
        <v>0.5</v>
      </c>
      <c r="I86" s="209"/>
      <c r="J86" s="209">
        <v>10</v>
      </c>
      <c r="K86" s="102" t="s">
        <v>511</v>
      </c>
      <c r="L86" s="102"/>
      <c r="M86" s="13">
        <v>2</v>
      </c>
      <c r="N86" s="13">
        <v>9.9700000000000006</v>
      </c>
      <c r="O86" s="18">
        <f t="shared" si="10"/>
        <v>19.940000000000001</v>
      </c>
      <c r="P86" s="209">
        <f>G86/H86</f>
        <v>2</v>
      </c>
      <c r="Q86" s="81">
        <f t="shared" si="13"/>
        <v>160</v>
      </c>
      <c r="R86" s="226">
        <f t="shared" si="11"/>
        <v>160</v>
      </c>
      <c r="S86" s="306">
        <f t="shared" si="12"/>
        <v>339.94</v>
      </c>
    </row>
    <row r="87" spans="1:19" x14ac:dyDescent="0.2">
      <c r="A87" s="328" t="s">
        <v>408</v>
      </c>
      <c r="B87" s="254" t="s">
        <v>263</v>
      </c>
      <c r="C87" s="207">
        <v>200</v>
      </c>
      <c r="D87" s="207" t="s">
        <v>257</v>
      </c>
      <c r="E87" s="237" t="s">
        <v>476</v>
      </c>
      <c r="F87" s="207" t="s">
        <v>308</v>
      </c>
      <c r="G87" s="207">
        <v>1</v>
      </c>
      <c r="H87" s="18"/>
      <c r="I87" s="209"/>
      <c r="J87" s="209"/>
      <c r="K87" s="102" t="s">
        <v>1367</v>
      </c>
      <c r="L87" s="102"/>
      <c r="M87" s="13">
        <v>0.35</v>
      </c>
      <c r="N87" s="13">
        <v>18</v>
      </c>
      <c r="O87" s="18">
        <f t="shared" si="10"/>
        <v>6.3</v>
      </c>
      <c r="P87" s="209"/>
      <c r="Q87" s="81">
        <f t="shared" si="13"/>
        <v>0</v>
      </c>
      <c r="R87" s="226">
        <f t="shared" si="11"/>
        <v>0</v>
      </c>
      <c r="S87" s="306">
        <f t="shared" si="12"/>
        <v>6.3</v>
      </c>
    </row>
    <row r="88" spans="1:19" x14ac:dyDescent="0.2">
      <c r="A88" s="348" t="s">
        <v>408</v>
      </c>
      <c r="B88" s="12" t="s">
        <v>592</v>
      </c>
      <c r="C88" s="1">
        <v>200</v>
      </c>
      <c r="D88" s="1" t="s">
        <v>257</v>
      </c>
      <c r="E88" s="294" t="s">
        <v>476</v>
      </c>
      <c r="F88" s="1" t="s">
        <v>308</v>
      </c>
      <c r="G88" s="1">
        <v>1</v>
      </c>
      <c r="H88" s="18">
        <v>1.7</v>
      </c>
      <c r="I88" s="209">
        <v>10</v>
      </c>
      <c r="J88" s="18"/>
      <c r="K88" s="102" t="s">
        <v>234</v>
      </c>
      <c r="L88" s="102"/>
      <c r="M88" s="13">
        <f>0.86*2</f>
        <v>1.72</v>
      </c>
      <c r="N88" s="13">
        <f>'PRECIOS INSUMOS 2015'!C$5</f>
        <v>2</v>
      </c>
      <c r="O88" s="18">
        <f t="shared" si="10"/>
        <v>3.44</v>
      </c>
      <c r="P88" s="18">
        <f>G88/H88</f>
        <v>0.58823529411764708</v>
      </c>
      <c r="Q88" s="81">
        <f t="shared" si="13"/>
        <v>47.058823529411768</v>
      </c>
      <c r="R88" s="226">
        <f t="shared" si="11"/>
        <v>0</v>
      </c>
      <c r="S88" s="57">
        <f t="shared" si="12"/>
        <v>50.498823529411766</v>
      </c>
    </row>
    <row r="89" spans="1:19" x14ac:dyDescent="0.2">
      <c r="A89" s="328" t="s">
        <v>409</v>
      </c>
      <c r="B89" s="254" t="s">
        <v>263</v>
      </c>
      <c r="C89" s="207">
        <v>214</v>
      </c>
      <c r="D89" s="207" t="s">
        <v>257</v>
      </c>
      <c r="E89" s="237" t="s">
        <v>476</v>
      </c>
      <c r="F89" s="207" t="s">
        <v>308</v>
      </c>
      <c r="G89" s="207">
        <v>1</v>
      </c>
      <c r="H89" s="18"/>
      <c r="I89" s="209"/>
      <c r="J89" s="209"/>
      <c r="K89" s="102" t="s">
        <v>1367</v>
      </c>
      <c r="L89" s="102"/>
      <c r="M89" s="13">
        <v>0.35</v>
      </c>
      <c r="N89" s="13">
        <v>18</v>
      </c>
      <c r="O89" s="18">
        <f t="shared" si="10"/>
        <v>6.3</v>
      </c>
      <c r="P89" s="209"/>
      <c r="Q89" s="81">
        <f t="shared" si="13"/>
        <v>0</v>
      </c>
      <c r="R89" s="226">
        <f t="shared" si="11"/>
        <v>0</v>
      </c>
      <c r="S89" s="306">
        <f t="shared" si="12"/>
        <v>6.3</v>
      </c>
    </row>
    <row r="90" spans="1:19" x14ac:dyDescent="0.2">
      <c r="A90" s="348" t="s">
        <v>409</v>
      </c>
      <c r="B90" s="12" t="s">
        <v>592</v>
      </c>
      <c r="C90" s="1">
        <v>214</v>
      </c>
      <c r="D90" s="1" t="s">
        <v>257</v>
      </c>
      <c r="E90" s="294" t="s">
        <v>476</v>
      </c>
      <c r="F90" s="1" t="s">
        <v>308</v>
      </c>
      <c r="G90" s="1">
        <v>1</v>
      </c>
      <c r="H90" s="18">
        <v>1.7</v>
      </c>
      <c r="I90" s="209">
        <v>10</v>
      </c>
      <c r="J90" s="18"/>
      <c r="K90" s="102" t="s">
        <v>234</v>
      </c>
      <c r="L90" s="102"/>
      <c r="M90" s="13">
        <f>0.86*2</f>
        <v>1.72</v>
      </c>
      <c r="N90" s="13">
        <f>'PRECIOS INSUMOS 2015'!C$5</f>
        <v>2</v>
      </c>
      <c r="O90" s="18">
        <f t="shared" si="10"/>
        <v>3.44</v>
      </c>
      <c r="P90" s="18">
        <f>G90/H90</f>
        <v>0.58823529411764708</v>
      </c>
      <c r="Q90" s="81">
        <f t="shared" si="13"/>
        <v>47.058823529411768</v>
      </c>
      <c r="R90" s="226">
        <f t="shared" si="11"/>
        <v>0</v>
      </c>
      <c r="S90" s="57">
        <f t="shared" si="12"/>
        <v>50.498823529411766</v>
      </c>
    </row>
    <row r="91" spans="1:19" x14ac:dyDescent="0.2">
      <c r="A91" s="328" t="s">
        <v>411</v>
      </c>
      <c r="B91" s="254" t="s">
        <v>273</v>
      </c>
      <c r="C91" s="207">
        <v>216</v>
      </c>
      <c r="D91" s="207" t="s">
        <v>266</v>
      </c>
      <c r="E91" s="237" t="s">
        <v>272</v>
      </c>
      <c r="F91" s="207" t="s">
        <v>308</v>
      </c>
      <c r="G91" s="207">
        <v>1</v>
      </c>
      <c r="H91" s="18">
        <v>0.62</v>
      </c>
      <c r="I91" s="209"/>
      <c r="J91" s="209">
        <v>10</v>
      </c>
      <c r="K91" s="102"/>
      <c r="L91" s="102"/>
      <c r="M91" s="13"/>
      <c r="N91" s="13"/>
      <c r="O91" s="18">
        <f t="shared" si="10"/>
        <v>0</v>
      </c>
      <c r="P91" s="209">
        <f>G91/H91</f>
        <v>1.6129032258064517</v>
      </c>
      <c r="Q91" s="81">
        <f t="shared" si="13"/>
        <v>129.03225806451613</v>
      </c>
      <c r="R91" s="226">
        <f t="shared" si="11"/>
        <v>129.03225806451613</v>
      </c>
      <c r="S91" s="306">
        <f t="shared" si="12"/>
        <v>258.06451612903226</v>
      </c>
    </row>
    <row r="92" spans="1:19" x14ac:dyDescent="0.2">
      <c r="A92" s="328" t="s">
        <v>410</v>
      </c>
      <c r="B92" s="254" t="s">
        <v>491</v>
      </c>
      <c r="C92" s="207">
        <v>216</v>
      </c>
      <c r="D92" s="207" t="s">
        <v>266</v>
      </c>
      <c r="E92" s="237" t="s">
        <v>272</v>
      </c>
      <c r="F92" s="207" t="s">
        <v>308</v>
      </c>
      <c r="G92" s="207">
        <v>1</v>
      </c>
      <c r="H92" s="18">
        <v>0.62</v>
      </c>
      <c r="I92" s="209"/>
      <c r="J92" s="209">
        <v>10</v>
      </c>
      <c r="K92" s="102"/>
      <c r="L92" s="102"/>
      <c r="M92" s="13"/>
      <c r="N92" s="13"/>
      <c r="O92" s="18">
        <f t="shared" si="10"/>
        <v>0</v>
      </c>
      <c r="P92" s="209">
        <f>G92/H92</f>
        <v>1.6129032258064517</v>
      </c>
      <c r="Q92" s="81">
        <f t="shared" si="13"/>
        <v>129.03225806451613</v>
      </c>
      <c r="R92" s="226">
        <f t="shared" si="11"/>
        <v>129.03225806451613</v>
      </c>
      <c r="S92" s="306">
        <f t="shared" si="12"/>
        <v>258.06451612903226</v>
      </c>
    </row>
    <row r="93" spans="1:19" x14ac:dyDescent="0.2">
      <c r="A93" s="328" t="s">
        <v>412</v>
      </c>
      <c r="B93" s="254" t="s">
        <v>263</v>
      </c>
      <c r="C93" s="207">
        <v>228</v>
      </c>
      <c r="D93" s="207" t="s">
        <v>257</v>
      </c>
      <c r="E93" s="237" t="s">
        <v>476</v>
      </c>
      <c r="F93" s="207" t="s">
        <v>308</v>
      </c>
      <c r="G93" s="207">
        <v>1</v>
      </c>
      <c r="H93" s="18"/>
      <c r="I93" s="209"/>
      <c r="J93" s="209"/>
      <c r="K93" s="102" t="s">
        <v>1367</v>
      </c>
      <c r="L93" s="102"/>
      <c r="M93" s="13">
        <v>0.35</v>
      </c>
      <c r="N93" s="13">
        <v>18</v>
      </c>
      <c r="O93" s="18">
        <f t="shared" si="10"/>
        <v>6.3</v>
      </c>
      <c r="P93" s="209"/>
      <c r="Q93" s="81">
        <f t="shared" si="13"/>
        <v>0</v>
      </c>
      <c r="R93" s="226">
        <f t="shared" si="11"/>
        <v>0</v>
      </c>
      <c r="S93" s="306">
        <f t="shared" si="12"/>
        <v>6.3</v>
      </c>
    </row>
    <row r="94" spans="1:19" x14ac:dyDescent="0.2">
      <c r="A94" s="348" t="s">
        <v>412</v>
      </c>
      <c r="B94" s="12" t="s">
        <v>592</v>
      </c>
      <c r="C94" s="1">
        <v>228</v>
      </c>
      <c r="D94" s="1" t="s">
        <v>257</v>
      </c>
      <c r="E94" s="294" t="s">
        <v>476</v>
      </c>
      <c r="F94" s="1" t="s">
        <v>308</v>
      </c>
      <c r="G94" s="1">
        <v>1</v>
      </c>
      <c r="H94" s="18">
        <v>1.7</v>
      </c>
      <c r="I94" s="209">
        <v>10</v>
      </c>
      <c r="J94" s="18"/>
      <c r="K94" s="102" t="s">
        <v>234</v>
      </c>
      <c r="L94" s="102"/>
      <c r="M94" s="13">
        <f>0.86*2</f>
        <v>1.72</v>
      </c>
      <c r="N94" s="13">
        <f>'PRECIOS INSUMOS 2015'!C$5</f>
        <v>2</v>
      </c>
      <c r="O94" s="18">
        <f t="shared" si="10"/>
        <v>3.44</v>
      </c>
      <c r="P94" s="18">
        <f>G94/H94</f>
        <v>0.58823529411764708</v>
      </c>
      <c r="Q94" s="81">
        <f t="shared" si="13"/>
        <v>47.058823529411768</v>
      </c>
      <c r="R94" s="226">
        <f t="shared" si="11"/>
        <v>0</v>
      </c>
      <c r="S94" s="57">
        <f t="shared" si="12"/>
        <v>50.498823529411766</v>
      </c>
    </row>
    <row r="95" spans="1:19" x14ac:dyDescent="0.2">
      <c r="A95" s="328" t="s">
        <v>413</v>
      </c>
      <c r="B95" s="206" t="s">
        <v>923</v>
      </c>
      <c r="C95" s="207">
        <v>230</v>
      </c>
      <c r="D95" s="207" t="s">
        <v>266</v>
      </c>
      <c r="E95" s="237" t="s">
        <v>267</v>
      </c>
      <c r="F95" s="207" t="s">
        <v>308</v>
      </c>
      <c r="G95" s="207">
        <v>1</v>
      </c>
      <c r="H95" s="18">
        <v>0.5</v>
      </c>
      <c r="I95" s="209"/>
      <c r="J95" s="209">
        <v>10</v>
      </c>
      <c r="K95" s="102" t="s">
        <v>510</v>
      </c>
      <c r="L95" s="102"/>
      <c r="M95" s="13">
        <v>2</v>
      </c>
      <c r="N95" s="13">
        <f>'PRECIOS INSUMOS 2015'!C$89</f>
        <v>30</v>
      </c>
      <c r="O95" s="18">
        <f t="shared" si="10"/>
        <v>60</v>
      </c>
      <c r="P95" s="209">
        <f>G95/H95</f>
        <v>2</v>
      </c>
      <c r="Q95" s="81">
        <f t="shared" si="13"/>
        <v>160</v>
      </c>
      <c r="R95" s="226">
        <f t="shared" si="11"/>
        <v>160</v>
      </c>
      <c r="S95" s="306">
        <f t="shared" si="12"/>
        <v>380</v>
      </c>
    </row>
    <row r="96" spans="1:19" x14ac:dyDescent="0.2">
      <c r="A96" s="328" t="s">
        <v>414</v>
      </c>
      <c r="B96" s="254" t="s">
        <v>263</v>
      </c>
      <c r="C96" s="207">
        <v>242</v>
      </c>
      <c r="D96" s="207" t="s">
        <v>257</v>
      </c>
      <c r="E96" s="237" t="s">
        <v>476</v>
      </c>
      <c r="F96" s="207" t="s">
        <v>308</v>
      </c>
      <c r="G96" s="207">
        <v>1</v>
      </c>
      <c r="H96" s="18"/>
      <c r="I96" s="209"/>
      <c r="J96" s="209"/>
      <c r="K96" s="102" t="s">
        <v>1367</v>
      </c>
      <c r="L96" s="102"/>
      <c r="M96" s="13">
        <v>0.35</v>
      </c>
      <c r="N96" s="13">
        <v>18</v>
      </c>
      <c r="O96" s="18">
        <f t="shared" si="10"/>
        <v>6.3</v>
      </c>
      <c r="P96" s="209"/>
      <c r="Q96" s="81">
        <f t="shared" si="13"/>
        <v>0</v>
      </c>
      <c r="R96" s="226">
        <f t="shared" si="11"/>
        <v>0</v>
      </c>
      <c r="S96" s="306">
        <f t="shared" si="12"/>
        <v>6.3</v>
      </c>
    </row>
    <row r="97" spans="1:19" x14ac:dyDescent="0.2">
      <c r="A97" s="348" t="s">
        <v>414</v>
      </c>
      <c r="B97" s="12" t="s">
        <v>592</v>
      </c>
      <c r="C97" s="1">
        <v>242</v>
      </c>
      <c r="D97" s="1" t="s">
        <v>257</v>
      </c>
      <c r="E97" s="294" t="s">
        <v>476</v>
      </c>
      <c r="F97" s="1" t="s">
        <v>308</v>
      </c>
      <c r="G97" s="1">
        <v>1</v>
      </c>
      <c r="H97" s="18">
        <v>1.7</v>
      </c>
      <c r="I97" s="209">
        <v>10</v>
      </c>
      <c r="J97" s="18"/>
      <c r="K97" s="102" t="s">
        <v>234</v>
      </c>
      <c r="L97" s="102"/>
      <c r="M97" s="13">
        <f>0.86*2</f>
        <v>1.72</v>
      </c>
      <c r="N97" s="13">
        <f>'PRECIOS INSUMOS 2015'!C$5</f>
        <v>2</v>
      </c>
      <c r="O97" s="18">
        <f t="shared" si="10"/>
        <v>3.44</v>
      </c>
      <c r="P97" s="18">
        <f>G97/H97</f>
        <v>0.58823529411764708</v>
      </c>
      <c r="Q97" s="81">
        <f t="shared" si="13"/>
        <v>47.058823529411768</v>
      </c>
      <c r="R97" s="226">
        <f t="shared" si="11"/>
        <v>0</v>
      </c>
      <c r="S97" s="57">
        <f t="shared" si="12"/>
        <v>50.498823529411766</v>
      </c>
    </row>
    <row r="98" spans="1:19" x14ac:dyDescent="0.2">
      <c r="A98" s="328" t="s">
        <v>415</v>
      </c>
      <c r="B98" s="254" t="s">
        <v>263</v>
      </c>
      <c r="C98" s="207">
        <v>256</v>
      </c>
      <c r="D98" s="207" t="s">
        <v>257</v>
      </c>
      <c r="E98" s="237" t="s">
        <v>476</v>
      </c>
      <c r="F98" s="207" t="s">
        <v>308</v>
      </c>
      <c r="G98" s="207">
        <v>1</v>
      </c>
      <c r="H98" s="18"/>
      <c r="I98" s="209"/>
      <c r="J98" s="209"/>
      <c r="K98" s="102" t="s">
        <v>1367</v>
      </c>
      <c r="L98" s="102"/>
      <c r="M98" s="13">
        <v>0.35</v>
      </c>
      <c r="N98" s="13">
        <v>18</v>
      </c>
      <c r="O98" s="18">
        <f t="shared" si="10"/>
        <v>6.3</v>
      </c>
      <c r="P98" s="209"/>
      <c r="Q98" s="81">
        <f t="shared" si="13"/>
        <v>0</v>
      </c>
      <c r="R98" s="226">
        <f t="shared" si="11"/>
        <v>0</v>
      </c>
      <c r="S98" s="306">
        <f t="shared" si="12"/>
        <v>6.3</v>
      </c>
    </row>
    <row r="99" spans="1:19" x14ac:dyDescent="0.2">
      <c r="A99" s="348" t="s">
        <v>415</v>
      </c>
      <c r="B99" s="12" t="s">
        <v>592</v>
      </c>
      <c r="C99" s="1">
        <v>256</v>
      </c>
      <c r="D99" s="1" t="s">
        <v>257</v>
      </c>
      <c r="E99" s="294" t="s">
        <v>476</v>
      </c>
      <c r="F99" s="1" t="s">
        <v>308</v>
      </c>
      <c r="G99" s="1">
        <v>1</v>
      </c>
      <c r="H99" s="18">
        <v>1.7</v>
      </c>
      <c r="I99" s="209">
        <v>10</v>
      </c>
      <c r="J99" s="18"/>
      <c r="K99" s="102" t="s">
        <v>234</v>
      </c>
      <c r="L99" s="102"/>
      <c r="M99" s="13">
        <f>0.86*2</f>
        <v>1.72</v>
      </c>
      <c r="N99" s="13">
        <f>'PRECIOS INSUMOS 2015'!C$5</f>
        <v>2</v>
      </c>
      <c r="O99" s="18">
        <f t="shared" si="10"/>
        <v>3.44</v>
      </c>
      <c r="P99" s="18">
        <f>G99/H99</f>
        <v>0.58823529411764708</v>
      </c>
      <c r="Q99" s="81">
        <f t="shared" si="13"/>
        <v>47.058823529411768</v>
      </c>
      <c r="R99" s="226">
        <f t="shared" si="11"/>
        <v>0</v>
      </c>
      <c r="S99" s="57">
        <f t="shared" si="12"/>
        <v>50.498823529411766</v>
      </c>
    </row>
    <row r="100" spans="1:19" s="317" customFormat="1" x14ac:dyDescent="0.2">
      <c r="A100" s="328" t="s">
        <v>416</v>
      </c>
      <c r="B100" s="206" t="s">
        <v>923</v>
      </c>
      <c r="C100" s="207">
        <v>265</v>
      </c>
      <c r="D100" s="207" t="s">
        <v>266</v>
      </c>
      <c r="E100" s="237" t="s">
        <v>267</v>
      </c>
      <c r="F100" s="207" t="s">
        <v>308</v>
      </c>
      <c r="G100" s="207">
        <v>1</v>
      </c>
      <c r="H100" s="18">
        <v>0.5</v>
      </c>
      <c r="I100" s="209"/>
      <c r="J100" s="209">
        <v>10</v>
      </c>
      <c r="K100" s="102" t="s">
        <v>510</v>
      </c>
      <c r="L100" s="102"/>
      <c r="M100" s="13">
        <v>2</v>
      </c>
      <c r="N100" s="13">
        <f>'PRECIOS INSUMOS 2015'!C$89</f>
        <v>30</v>
      </c>
      <c r="O100" s="18">
        <f t="shared" si="10"/>
        <v>60</v>
      </c>
      <c r="P100" s="209">
        <f>G100/H100</f>
        <v>2</v>
      </c>
      <c r="Q100" s="81">
        <f t="shared" si="13"/>
        <v>160</v>
      </c>
      <c r="R100" s="226">
        <f t="shared" si="11"/>
        <v>160</v>
      </c>
      <c r="S100" s="306">
        <f t="shared" si="12"/>
        <v>380</v>
      </c>
    </row>
    <row r="101" spans="1:19" s="317" customFormat="1" x14ac:dyDescent="0.2">
      <c r="A101" s="328" t="s">
        <v>417</v>
      </c>
      <c r="B101" s="254" t="s">
        <v>263</v>
      </c>
      <c r="C101" s="207">
        <v>270</v>
      </c>
      <c r="D101" s="207" t="s">
        <v>257</v>
      </c>
      <c r="E101" s="237" t="s">
        <v>476</v>
      </c>
      <c r="F101" s="207" t="s">
        <v>308</v>
      </c>
      <c r="G101" s="207">
        <v>1</v>
      </c>
      <c r="H101" s="18"/>
      <c r="I101" s="209"/>
      <c r="J101" s="209"/>
      <c r="K101" s="102" t="s">
        <v>1367</v>
      </c>
      <c r="L101" s="102"/>
      <c r="M101" s="13">
        <v>0.35</v>
      </c>
      <c r="N101" s="13">
        <v>18</v>
      </c>
      <c r="O101" s="18">
        <f t="shared" si="10"/>
        <v>6.3</v>
      </c>
      <c r="P101" s="209"/>
      <c r="Q101" s="81">
        <f t="shared" si="13"/>
        <v>0</v>
      </c>
      <c r="R101" s="226">
        <f t="shared" si="11"/>
        <v>0</v>
      </c>
      <c r="S101" s="306">
        <f t="shared" si="12"/>
        <v>6.3</v>
      </c>
    </row>
    <row r="102" spans="1:19" s="317" customFormat="1" ht="13.5" thickBot="1" x14ac:dyDescent="0.25">
      <c r="A102" s="348" t="s">
        <v>417</v>
      </c>
      <c r="B102" s="12" t="s">
        <v>592</v>
      </c>
      <c r="C102" s="1">
        <v>270</v>
      </c>
      <c r="D102" s="1" t="s">
        <v>257</v>
      </c>
      <c r="E102" s="294" t="s">
        <v>476</v>
      </c>
      <c r="F102" s="1" t="s">
        <v>308</v>
      </c>
      <c r="G102" s="1">
        <v>1</v>
      </c>
      <c r="H102" s="59">
        <v>1.7</v>
      </c>
      <c r="I102" s="209">
        <v>10</v>
      </c>
      <c r="J102" s="59"/>
      <c r="K102" s="102" t="s">
        <v>234</v>
      </c>
      <c r="L102" s="102"/>
      <c r="M102" s="13">
        <f>0.86*2</f>
        <v>1.72</v>
      </c>
      <c r="N102" s="13">
        <f>'PRECIOS INSUMOS 2015'!C$5</f>
        <v>2</v>
      </c>
      <c r="O102" s="18">
        <f t="shared" si="10"/>
        <v>3.44</v>
      </c>
      <c r="P102" s="59">
        <f>G102/H102</f>
        <v>0.58823529411764708</v>
      </c>
      <c r="Q102" s="81">
        <f t="shared" si="13"/>
        <v>47.058823529411768</v>
      </c>
      <c r="R102" s="56">
        <f t="shared" si="11"/>
        <v>0</v>
      </c>
      <c r="S102" s="59">
        <f t="shared" si="12"/>
        <v>50.498823529411766</v>
      </c>
    </row>
    <row r="103" spans="1:19" s="317" customFormat="1" x14ac:dyDescent="0.2">
      <c r="A103" s="328" t="s">
        <v>419</v>
      </c>
      <c r="B103" s="254" t="s">
        <v>273</v>
      </c>
      <c r="C103" s="207">
        <v>272</v>
      </c>
      <c r="D103" s="207" t="s">
        <v>266</v>
      </c>
      <c r="E103" s="237" t="s">
        <v>272</v>
      </c>
      <c r="F103" s="207" t="s">
        <v>308</v>
      </c>
      <c r="G103" s="207">
        <v>1</v>
      </c>
      <c r="H103" s="57">
        <v>0.62</v>
      </c>
      <c r="I103" s="306"/>
      <c r="J103" s="209">
        <v>10</v>
      </c>
      <c r="K103" s="102"/>
      <c r="L103" s="102"/>
      <c r="M103" s="13"/>
      <c r="N103" s="13"/>
      <c r="O103" s="57">
        <f t="shared" si="10"/>
        <v>0</v>
      </c>
      <c r="P103" s="306">
        <f>G103/H103</f>
        <v>1.6129032258064517</v>
      </c>
      <c r="Q103" s="81">
        <f t="shared" si="13"/>
        <v>129.03225806451613</v>
      </c>
      <c r="R103" s="354">
        <f t="shared" si="11"/>
        <v>129.03225806451613</v>
      </c>
      <c r="S103" s="306">
        <f t="shared" si="12"/>
        <v>258.06451612903226</v>
      </c>
    </row>
    <row r="104" spans="1:19" s="317" customFormat="1" x14ac:dyDescent="0.2">
      <c r="A104" s="328" t="s">
        <v>418</v>
      </c>
      <c r="B104" s="254" t="s">
        <v>491</v>
      </c>
      <c r="C104" s="207">
        <v>272</v>
      </c>
      <c r="D104" s="207" t="s">
        <v>266</v>
      </c>
      <c r="E104" s="237" t="s">
        <v>272</v>
      </c>
      <c r="F104" s="207" t="s">
        <v>308</v>
      </c>
      <c r="G104" s="207">
        <v>1</v>
      </c>
      <c r="H104" s="18">
        <v>0.62</v>
      </c>
      <c r="I104" s="209"/>
      <c r="J104" s="209">
        <v>10</v>
      </c>
      <c r="K104" s="102"/>
      <c r="L104" s="102"/>
      <c r="M104" s="13"/>
      <c r="N104" s="13"/>
      <c r="O104" s="18">
        <f t="shared" si="10"/>
        <v>0</v>
      </c>
      <c r="P104" s="209">
        <f>G104/H104</f>
        <v>1.6129032258064517</v>
      </c>
      <c r="Q104" s="81">
        <f t="shared" si="13"/>
        <v>129.03225806451613</v>
      </c>
      <c r="R104" s="226">
        <f t="shared" si="11"/>
        <v>129.03225806451613</v>
      </c>
      <c r="S104" s="306">
        <f t="shared" si="12"/>
        <v>258.06451612903226</v>
      </c>
    </row>
    <row r="105" spans="1:19" s="317" customFormat="1" x14ac:dyDescent="0.2">
      <c r="A105" s="328" t="s">
        <v>420</v>
      </c>
      <c r="B105" s="254" t="s">
        <v>263</v>
      </c>
      <c r="C105" s="207">
        <v>285</v>
      </c>
      <c r="D105" s="207" t="s">
        <v>257</v>
      </c>
      <c r="E105" s="237" t="s">
        <v>476</v>
      </c>
      <c r="F105" s="207" t="s">
        <v>308</v>
      </c>
      <c r="G105" s="207">
        <v>1</v>
      </c>
      <c r="H105" s="18"/>
      <c r="I105" s="209"/>
      <c r="J105" s="209"/>
      <c r="K105" s="102" t="s">
        <v>1367</v>
      </c>
      <c r="L105" s="102"/>
      <c r="M105" s="13">
        <v>0.35</v>
      </c>
      <c r="N105" s="13">
        <v>18</v>
      </c>
      <c r="O105" s="18">
        <f t="shared" ref="O105:O125" si="14">N105*M105</f>
        <v>6.3</v>
      </c>
      <c r="P105" s="209"/>
      <c r="Q105" s="81">
        <f t="shared" si="13"/>
        <v>0</v>
      </c>
      <c r="R105" s="226">
        <f t="shared" ref="R105:R125" si="15">J105*P105*8</f>
        <v>0</v>
      </c>
      <c r="S105" s="306">
        <f t="shared" ref="S105:S125" si="16">R105+Q105+O105</f>
        <v>6.3</v>
      </c>
    </row>
    <row r="106" spans="1:19" s="317" customFormat="1" x14ac:dyDescent="0.2">
      <c r="A106" s="348" t="s">
        <v>420</v>
      </c>
      <c r="B106" s="12" t="s">
        <v>592</v>
      </c>
      <c r="C106" s="1">
        <v>285</v>
      </c>
      <c r="D106" s="1" t="s">
        <v>257</v>
      </c>
      <c r="E106" s="294" t="s">
        <v>476</v>
      </c>
      <c r="F106" s="1" t="s">
        <v>308</v>
      </c>
      <c r="G106" s="1">
        <v>1</v>
      </c>
      <c r="H106" s="18">
        <v>1.7</v>
      </c>
      <c r="I106" s="209">
        <v>10</v>
      </c>
      <c r="J106" s="18"/>
      <c r="K106" s="102" t="s">
        <v>234</v>
      </c>
      <c r="L106" s="102"/>
      <c r="M106" s="13">
        <f>0.86*2</f>
        <v>1.72</v>
      </c>
      <c r="N106" s="13">
        <f>'PRECIOS INSUMOS 2015'!C$5</f>
        <v>2</v>
      </c>
      <c r="O106" s="18">
        <f t="shared" si="14"/>
        <v>3.44</v>
      </c>
      <c r="P106" s="18">
        <f>G106/H106</f>
        <v>0.58823529411764708</v>
      </c>
      <c r="Q106" s="81">
        <f t="shared" si="13"/>
        <v>47.058823529411768</v>
      </c>
      <c r="R106" s="226">
        <f t="shared" si="15"/>
        <v>0</v>
      </c>
      <c r="S106" s="57">
        <f t="shared" si="16"/>
        <v>50.498823529411766</v>
      </c>
    </row>
    <row r="107" spans="1:19" s="317" customFormat="1" x14ac:dyDescent="0.2">
      <c r="A107" s="328" t="s">
        <v>421</v>
      </c>
      <c r="B107" s="206" t="s">
        <v>924</v>
      </c>
      <c r="C107" s="207">
        <v>294</v>
      </c>
      <c r="D107" s="207" t="s">
        <v>266</v>
      </c>
      <c r="E107" s="237" t="s">
        <v>267</v>
      </c>
      <c r="F107" s="207" t="s">
        <v>308</v>
      </c>
      <c r="G107" s="207">
        <v>1</v>
      </c>
      <c r="H107" s="18">
        <v>0.5</v>
      </c>
      <c r="I107" s="209"/>
      <c r="J107" s="209">
        <v>10</v>
      </c>
      <c r="K107" s="102" t="s">
        <v>511</v>
      </c>
      <c r="L107" s="102"/>
      <c r="M107" s="13">
        <v>2</v>
      </c>
      <c r="N107" s="13">
        <v>9.9700000000000006</v>
      </c>
      <c r="O107" s="18">
        <f t="shared" si="14"/>
        <v>19.940000000000001</v>
      </c>
      <c r="P107" s="209">
        <f>G107/H107</f>
        <v>2</v>
      </c>
      <c r="Q107" s="81">
        <f t="shared" si="13"/>
        <v>160</v>
      </c>
      <c r="R107" s="226">
        <f t="shared" si="15"/>
        <v>160</v>
      </c>
      <c r="S107" s="306">
        <f t="shared" si="16"/>
        <v>339.94</v>
      </c>
    </row>
    <row r="108" spans="1:19" s="317" customFormat="1" x14ac:dyDescent="0.2">
      <c r="A108" s="328" t="s">
        <v>422</v>
      </c>
      <c r="B108" s="254" t="s">
        <v>263</v>
      </c>
      <c r="C108" s="207">
        <v>299</v>
      </c>
      <c r="D108" s="207" t="s">
        <v>257</v>
      </c>
      <c r="E108" s="237" t="s">
        <v>476</v>
      </c>
      <c r="F108" s="207" t="s">
        <v>308</v>
      </c>
      <c r="G108" s="207">
        <v>1</v>
      </c>
      <c r="H108" s="18"/>
      <c r="I108" s="209"/>
      <c r="J108" s="209"/>
      <c r="K108" s="102" t="s">
        <v>1367</v>
      </c>
      <c r="L108" s="102"/>
      <c r="M108" s="13">
        <v>0.35</v>
      </c>
      <c r="N108" s="13">
        <v>18</v>
      </c>
      <c r="O108" s="18">
        <f t="shared" si="14"/>
        <v>6.3</v>
      </c>
      <c r="P108" s="209"/>
      <c r="Q108" s="81">
        <f t="shared" si="13"/>
        <v>0</v>
      </c>
      <c r="R108" s="226">
        <f t="shared" si="15"/>
        <v>0</v>
      </c>
      <c r="S108" s="306">
        <f t="shared" si="16"/>
        <v>6.3</v>
      </c>
    </row>
    <row r="109" spans="1:19" s="317" customFormat="1" x14ac:dyDescent="0.2">
      <c r="A109" s="348" t="s">
        <v>422</v>
      </c>
      <c r="B109" s="12" t="s">
        <v>592</v>
      </c>
      <c r="C109" s="1">
        <v>299</v>
      </c>
      <c r="D109" s="1" t="s">
        <v>257</v>
      </c>
      <c r="E109" s="294" t="s">
        <v>476</v>
      </c>
      <c r="F109" s="1" t="s">
        <v>308</v>
      </c>
      <c r="G109" s="1">
        <v>1</v>
      </c>
      <c r="H109" s="18">
        <v>1.7</v>
      </c>
      <c r="I109" s="209">
        <v>10</v>
      </c>
      <c r="J109" s="18"/>
      <c r="K109" s="102" t="s">
        <v>234</v>
      </c>
      <c r="L109" s="102"/>
      <c r="M109" s="13">
        <f>0.86*2</f>
        <v>1.72</v>
      </c>
      <c r="N109" s="13">
        <f>'PRECIOS INSUMOS 2015'!C$5</f>
        <v>2</v>
      </c>
      <c r="O109" s="18">
        <f t="shared" si="14"/>
        <v>3.44</v>
      </c>
      <c r="P109" s="18">
        <f>G109/H109</f>
        <v>0.58823529411764708</v>
      </c>
      <c r="Q109" s="81">
        <f t="shared" si="13"/>
        <v>47.058823529411768</v>
      </c>
      <c r="R109" s="226">
        <f t="shared" si="15"/>
        <v>0</v>
      </c>
      <c r="S109" s="57">
        <f t="shared" si="16"/>
        <v>50.498823529411766</v>
      </c>
    </row>
    <row r="110" spans="1:19" s="317" customFormat="1" x14ac:dyDescent="0.2">
      <c r="A110" s="328" t="s">
        <v>424</v>
      </c>
      <c r="B110" s="254" t="s">
        <v>273</v>
      </c>
      <c r="C110" s="207">
        <v>301</v>
      </c>
      <c r="D110" s="207" t="s">
        <v>266</v>
      </c>
      <c r="E110" s="237" t="s">
        <v>272</v>
      </c>
      <c r="F110" s="207" t="s">
        <v>308</v>
      </c>
      <c r="G110" s="207">
        <v>1</v>
      </c>
      <c r="H110" s="18">
        <v>0.62</v>
      </c>
      <c r="I110" s="209"/>
      <c r="J110" s="209">
        <v>10</v>
      </c>
      <c r="K110" s="102"/>
      <c r="L110" s="102"/>
      <c r="M110" s="13"/>
      <c r="N110" s="13"/>
      <c r="O110" s="18">
        <f t="shared" si="14"/>
        <v>0</v>
      </c>
      <c r="P110" s="209">
        <f>G110/H110</f>
        <v>1.6129032258064517</v>
      </c>
      <c r="Q110" s="81">
        <f t="shared" si="13"/>
        <v>129.03225806451613</v>
      </c>
      <c r="R110" s="226">
        <f t="shared" si="15"/>
        <v>129.03225806451613</v>
      </c>
      <c r="S110" s="306">
        <f t="shared" si="16"/>
        <v>258.06451612903226</v>
      </c>
    </row>
    <row r="111" spans="1:19" s="317" customFormat="1" x14ac:dyDescent="0.2">
      <c r="A111" s="328" t="s">
        <v>423</v>
      </c>
      <c r="B111" s="254" t="s">
        <v>491</v>
      </c>
      <c r="C111" s="207">
        <v>301</v>
      </c>
      <c r="D111" s="207" t="s">
        <v>266</v>
      </c>
      <c r="E111" s="237" t="s">
        <v>272</v>
      </c>
      <c r="F111" s="207" t="s">
        <v>308</v>
      </c>
      <c r="G111" s="207">
        <v>1</v>
      </c>
      <c r="H111" s="18">
        <v>0.62</v>
      </c>
      <c r="I111" s="209"/>
      <c r="J111" s="209">
        <v>10</v>
      </c>
      <c r="K111" s="102"/>
      <c r="L111" s="102"/>
      <c r="M111" s="13"/>
      <c r="N111" s="13"/>
      <c r="O111" s="18">
        <f t="shared" si="14"/>
        <v>0</v>
      </c>
      <c r="P111" s="209">
        <f>G111/H111</f>
        <v>1.6129032258064517</v>
      </c>
      <c r="Q111" s="81">
        <f t="shared" si="13"/>
        <v>129.03225806451613</v>
      </c>
      <c r="R111" s="226">
        <f t="shared" si="15"/>
        <v>129.03225806451613</v>
      </c>
      <c r="S111" s="306">
        <f t="shared" si="16"/>
        <v>258.06451612903226</v>
      </c>
    </row>
    <row r="112" spans="1:19" s="317" customFormat="1" x14ac:dyDescent="0.2">
      <c r="A112" s="328" t="s">
        <v>425</v>
      </c>
      <c r="B112" s="12" t="s">
        <v>507</v>
      </c>
      <c r="C112" s="207">
        <v>309</v>
      </c>
      <c r="D112" s="207" t="s">
        <v>266</v>
      </c>
      <c r="E112" s="237" t="s">
        <v>272</v>
      </c>
      <c r="F112" s="207" t="s">
        <v>308</v>
      </c>
      <c r="G112" s="207">
        <v>1</v>
      </c>
      <c r="H112" s="18">
        <v>2</v>
      </c>
      <c r="I112" s="209"/>
      <c r="J112" s="209">
        <v>10</v>
      </c>
      <c r="K112" s="102"/>
      <c r="L112" s="102"/>
      <c r="M112" s="13"/>
      <c r="N112" s="13"/>
      <c r="O112" s="18">
        <f t="shared" si="14"/>
        <v>0</v>
      </c>
      <c r="P112" s="209">
        <f>G112/H112</f>
        <v>0.5</v>
      </c>
      <c r="Q112" s="81">
        <f t="shared" si="13"/>
        <v>40</v>
      </c>
      <c r="R112" s="226">
        <f t="shared" si="15"/>
        <v>40</v>
      </c>
      <c r="S112" s="306">
        <f t="shared" si="16"/>
        <v>80</v>
      </c>
    </row>
    <row r="113" spans="1:20" s="317" customFormat="1" x14ac:dyDescent="0.2">
      <c r="A113" s="328" t="s">
        <v>426</v>
      </c>
      <c r="B113" s="254" t="s">
        <v>263</v>
      </c>
      <c r="C113" s="207">
        <v>312</v>
      </c>
      <c r="D113" s="207" t="s">
        <v>257</v>
      </c>
      <c r="E113" s="237" t="s">
        <v>476</v>
      </c>
      <c r="F113" s="207" t="s">
        <v>308</v>
      </c>
      <c r="G113" s="207">
        <v>1</v>
      </c>
      <c r="H113" s="18"/>
      <c r="I113" s="209"/>
      <c r="J113" s="209"/>
      <c r="K113" s="102" t="s">
        <v>1367</v>
      </c>
      <c r="L113" s="102"/>
      <c r="M113" s="13">
        <v>0.35</v>
      </c>
      <c r="N113" s="13">
        <v>18</v>
      </c>
      <c r="O113" s="18">
        <f t="shared" si="14"/>
        <v>6.3</v>
      </c>
      <c r="P113" s="209"/>
      <c r="Q113" s="81">
        <f t="shared" si="13"/>
        <v>0</v>
      </c>
      <c r="R113" s="226">
        <f t="shared" si="15"/>
        <v>0</v>
      </c>
      <c r="S113" s="306">
        <f t="shared" si="16"/>
        <v>6.3</v>
      </c>
    </row>
    <row r="114" spans="1:20" s="317" customFormat="1" x14ac:dyDescent="0.2">
      <c r="A114" s="348" t="s">
        <v>426</v>
      </c>
      <c r="B114" s="12" t="s">
        <v>592</v>
      </c>
      <c r="C114" s="1">
        <v>312</v>
      </c>
      <c r="D114" s="1" t="s">
        <v>257</v>
      </c>
      <c r="E114" s="294" t="s">
        <v>476</v>
      </c>
      <c r="F114" s="1" t="s">
        <v>308</v>
      </c>
      <c r="G114" s="1">
        <v>1</v>
      </c>
      <c r="H114" s="18">
        <v>1.7</v>
      </c>
      <c r="I114" s="209">
        <v>10</v>
      </c>
      <c r="J114" s="18"/>
      <c r="K114" s="102" t="s">
        <v>234</v>
      </c>
      <c r="L114" s="102"/>
      <c r="M114" s="13">
        <f>0.86*2</f>
        <v>1.72</v>
      </c>
      <c r="N114" s="13">
        <f>'PRECIOS INSUMOS 2015'!C$5</f>
        <v>2</v>
      </c>
      <c r="O114" s="18">
        <f t="shared" si="14"/>
        <v>3.44</v>
      </c>
      <c r="P114" s="18">
        <f>G114/H114</f>
        <v>0.58823529411764708</v>
      </c>
      <c r="Q114" s="81">
        <f t="shared" si="13"/>
        <v>47.058823529411768</v>
      </c>
      <c r="R114" s="226">
        <f t="shared" si="15"/>
        <v>0</v>
      </c>
      <c r="S114" s="57">
        <f t="shared" si="16"/>
        <v>50.498823529411766</v>
      </c>
    </row>
    <row r="115" spans="1:20" s="317" customFormat="1" x14ac:dyDescent="0.2">
      <c r="A115" s="328" t="s">
        <v>427</v>
      </c>
      <c r="B115" s="254" t="s">
        <v>263</v>
      </c>
      <c r="C115" s="207">
        <v>326</v>
      </c>
      <c r="D115" s="207" t="s">
        <v>257</v>
      </c>
      <c r="E115" s="237" t="s">
        <v>476</v>
      </c>
      <c r="F115" s="207" t="s">
        <v>308</v>
      </c>
      <c r="G115" s="207">
        <v>1</v>
      </c>
      <c r="H115" s="18"/>
      <c r="I115" s="209"/>
      <c r="J115" s="209"/>
      <c r="K115" s="102" t="s">
        <v>1367</v>
      </c>
      <c r="L115" s="102"/>
      <c r="M115" s="13">
        <v>0.35</v>
      </c>
      <c r="N115" s="13">
        <v>18</v>
      </c>
      <c r="O115" s="18">
        <f t="shared" si="14"/>
        <v>6.3</v>
      </c>
      <c r="P115" s="209"/>
      <c r="Q115" s="81">
        <f t="shared" si="13"/>
        <v>0</v>
      </c>
      <c r="R115" s="226">
        <f t="shared" si="15"/>
        <v>0</v>
      </c>
      <c r="S115" s="306">
        <f t="shared" si="16"/>
        <v>6.3</v>
      </c>
    </row>
    <row r="116" spans="1:20" s="317" customFormat="1" x14ac:dyDescent="0.2">
      <c r="A116" s="348" t="s">
        <v>427</v>
      </c>
      <c r="B116" s="12" t="s">
        <v>592</v>
      </c>
      <c r="C116" s="1">
        <v>326</v>
      </c>
      <c r="D116" s="1" t="s">
        <v>257</v>
      </c>
      <c r="E116" s="294" t="s">
        <v>476</v>
      </c>
      <c r="F116" s="1" t="s">
        <v>308</v>
      </c>
      <c r="G116" s="1">
        <v>1</v>
      </c>
      <c r="H116" s="18">
        <v>1.7</v>
      </c>
      <c r="I116" s="209">
        <v>10</v>
      </c>
      <c r="J116" s="18"/>
      <c r="K116" s="102" t="s">
        <v>234</v>
      </c>
      <c r="L116" s="102"/>
      <c r="M116" s="13">
        <f>0.86*2</f>
        <v>1.72</v>
      </c>
      <c r="N116" s="13">
        <f>'PRECIOS INSUMOS 2015'!C$5</f>
        <v>2</v>
      </c>
      <c r="O116" s="18">
        <f t="shared" si="14"/>
        <v>3.44</v>
      </c>
      <c r="P116" s="18">
        <f>G116/H116</f>
        <v>0.58823529411764708</v>
      </c>
      <c r="Q116" s="81">
        <f t="shared" si="13"/>
        <v>47.058823529411768</v>
      </c>
      <c r="R116" s="226">
        <f t="shared" si="15"/>
        <v>0</v>
      </c>
      <c r="S116" s="57">
        <f t="shared" si="16"/>
        <v>50.498823529411766</v>
      </c>
    </row>
    <row r="117" spans="1:20" s="317" customFormat="1" x14ac:dyDescent="0.2">
      <c r="A117" s="328" t="s">
        <v>428</v>
      </c>
      <c r="B117" s="12" t="s">
        <v>507</v>
      </c>
      <c r="C117" s="207">
        <v>328</v>
      </c>
      <c r="D117" s="207" t="s">
        <v>266</v>
      </c>
      <c r="E117" s="237" t="s">
        <v>272</v>
      </c>
      <c r="F117" s="207" t="s">
        <v>308</v>
      </c>
      <c r="G117" s="207">
        <v>1</v>
      </c>
      <c r="H117" s="18">
        <v>2</v>
      </c>
      <c r="I117" s="209"/>
      <c r="J117" s="209">
        <v>10</v>
      </c>
      <c r="K117" s="102"/>
      <c r="L117" s="102"/>
      <c r="M117" s="13"/>
      <c r="N117" s="13"/>
      <c r="O117" s="18">
        <f t="shared" si="14"/>
        <v>0</v>
      </c>
      <c r="P117" s="209">
        <f>G117/H117</f>
        <v>0.5</v>
      </c>
      <c r="Q117" s="81">
        <f t="shared" si="13"/>
        <v>40</v>
      </c>
      <c r="R117" s="226">
        <f t="shared" si="15"/>
        <v>40</v>
      </c>
      <c r="S117" s="306">
        <f t="shared" si="16"/>
        <v>80</v>
      </c>
    </row>
    <row r="118" spans="1:20" s="317" customFormat="1" x14ac:dyDescent="0.2">
      <c r="A118" s="328" t="s">
        <v>429</v>
      </c>
      <c r="B118" s="254" t="s">
        <v>273</v>
      </c>
      <c r="C118" s="207">
        <v>330</v>
      </c>
      <c r="D118" s="207" t="s">
        <v>266</v>
      </c>
      <c r="E118" s="237" t="s">
        <v>272</v>
      </c>
      <c r="F118" s="207" t="s">
        <v>308</v>
      </c>
      <c r="G118" s="207">
        <v>1</v>
      </c>
      <c r="H118" s="18">
        <v>0.62</v>
      </c>
      <c r="I118" s="209"/>
      <c r="J118" s="209">
        <v>10</v>
      </c>
      <c r="K118" s="102"/>
      <c r="L118" s="102"/>
      <c r="M118" s="13"/>
      <c r="N118" s="13"/>
      <c r="O118" s="18">
        <f t="shared" si="14"/>
        <v>0</v>
      </c>
      <c r="P118" s="209">
        <f>G118/H118</f>
        <v>1.6129032258064517</v>
      </c>
      <c r="Q118" s="81">
        <f t="shared" si="13"/>
        <v>129.03225806451613</v>
      </c>
      <c r="R118" s="226">
        <f t="shared" si="15"/>
        <v>129.03225806451613</v>
      </c>
      <c r="S118" s="306">
        <f t="shared" si="16"/>
        <v>258.06451612903226</v>
      </c>
    </row>
    <row r="119" spans="1:20" s="317" customFormat="1" x14ac:dyDescent="0.2">
      <c r="A119" s="328" t="s">
        <v>430</v>
      </c>
      <c r="B119" s="254" t="s">
        <v>491</v>
      </c>
      <c r="C119" s="207">
        <v>330</v>
      </c>
      <c r="D119" s="207" t="s">
        <v>266</v>
      </c>
      <c r="E119" s="237" t="s">
        <v>272</v>
      </c>
      <c r="F119" s="207" t="s">
        <v>308</v>
      </c>
      <c r="G119" s="207">
        <v>1</v>
      </c>
      <c r="H119" s="18">
        <v>0.62</v>
      </c>
      <c r="I119" s="209"/>
      <c r="J119" s="209">
        <v>10</v>
      </c>
      <c r="K119" s="102"/>
      <c r="L119" s="102"/>
      <c r="M119" s="13"/>
      <c r="N119" s="13"/>
      <c r="O119" s="18">
        <f t="shared" si="14"/>
        <v>0</v>
      </c>
      <c r="P119" s="209">
        <f>G119/H119</f>
        <v>1.6129032258064517</v>
      </c>
      <c r="Q119" s="81">
        <f t="shared" si="13"/>
        <v>129.03225806451613</v>
      </c>
      <c r="R119" s="226">
        <f t="shared" si="15"/>
        <v>129.03225806451613</v>
      </c>
      <c r="S119" s="306">
        <f t="shared" si="16"/>
        <v>258.06451612903226</v>
      </c>
    </row>
    <row r="120" spans="1:20" s="317" customFormat="1" x14ac:dyDescent="0.2">
      <c r="A120" s="328" t="s">
        <v>433</v>
      </c>
      <c r="B120" s="206" t="s">
        <v>924</v>
      </c>
      <c r="C120" s="207">
        <v>335</v>
      </c>
      <c r="D120" s="207" t="s">
        <v>266</v>
      </c>
      <c r="E120" s="237" t="s">
        <v>267</v>
      </c>
      <c r="F120" s="207" t="s">
        <v>308</v>
      </c>
      <c r="G120" s="207">
        <v>1</v>
      </c>
      <c r="H120" s="18">
        <v>0.5</v>
      </c>
      <c r="I120" s="209"/>
      <c r="J120" s="209">
        <v>10</v>
      </c>
      <c r="K120" s="102" t="s">
        <v>511</v>
      </c>
      <c r="L120" s="102"/>
      <c r="M120" s="13">
        <v>2</v>
      </c>
      <c r="N120" s="13">
        <v>9.9700000000000006</v>
      </c>
      <c r="O120" s="18">
        <f t="shared" si="14"/>
        <v>19.940000000000001</v>
      </c>
      <c r="P120" s="209">
        <f>G120/H120</f>
        <v>2</v>
      </c>
      <c r="Q120" s="81">
        <f t="shared" si="13"/>
        <v>160</v>
      </c>
      <c r="R120" s="226">
        <f t="shared" si="15"/>
        <v>160</v>
      </c>
      <c r="S120" s="306">
        <f t="shared" si="16"/>
        <v>339.94</v>
      </c>
    </row>
    <row r="121" spans="1:20" s="317" customFormat="1" x14ac:dyDescent="0.2">
      <c r="A121" s="328" t="s">
        <v>434</v>
      </c>
      <c r="B121" s="254" t="s">
        <v>263</v>
      </c>
      <c r="C121" s="207">
        <v>342</v>
      </c>
      <c r="D121" s="207" t="s">
        <v>257</v>
      </c>
      <c r="E121" s="237" t="s">
        <v>476</v>
      </c>
      <c r="F121" s="207" t="s">
        <v>308</v>
      </c>
      <c r="G121" s="207">
        <v>1</v>
      </c>
      <c r="H121" s="18"/>
      <c r="I121" s="209"/>
      <c r="J121" s="209"/>
      <c r="K121" s="102" t="s">
        <v>1367</v>
      </c>
      <c r="L121" s="102"/>
      <c r="M121" s="13">
        <v>0.35</v>
      </c>
      <c r="N121" s="13">
        <v>18</v>
      </c>
      <c r="O121" s="18">
        <f t="shared" si="14"/>
        <v>6.3</v>
      </c>
      <c r="P121" s="209"/>
      <c r="Q121" s="81">
        <f t="shared" si="13"/>
        <v>0</v>
      </c>
      <c r="R121" s="226">
        <f t="shared" si="15"/>
        <v>0</v>
      </c>
      <c r="S121" s="306">
        <f t="shared" si="16"/>
        <v>6.3</v>
      </c>
    </row>
    <row r="122" spans="1:20" s="317" customFormat="1" x14ac:dyDescent="0.2">
      <c r="A122" s="358" t="s">
        <v>434</v>
      </c>
      <c r="B122" s="359" t="s">
        <v>592</v>
      </c>
      <c r="C122" s="44">
        <v>342</v>
      </c>
      <c r="D122" s="44" t="s">
        <v>257</v>
      </c>
      <c r="E122" s="360" t="s">
        <v>476</v>
      </c>
      <c r="F122" s="44" t="s">
        <v>308</v>
      </c>
      <c r="G122" s="44">
        <v>1</v>
      </c>
      <c r="H122" s="57">
        <v>1.7</v>
      </c>
      <c r="I122" s="209">
        <v>10</v>
      </c>
      <c r="J122" s="57"/>
      <c r="K122" s="103" t="s">
        <v>234</v>
      </c>
      <c r="L122" s="103"/>
      <c r="M122" s="47">
        <f>0.86*2</f>
        <v>1.72</v>
      </c>
      <c r="N122" s="13">
        <f>'PRECIOS INSUMOS 2015'!C$5</f>
        <v>2</v>
      </c>
      <c r="O122" s="57">
        <f t="shared" si="14"/>
        <v>3.44</v>
      </c>
      <c r="P122" s="57">
        <f>G122/H122</f>
        <v>0.58823529411764708</v>
      </c>
      <c r="Q122" s="308">
        <f t="shared" si="13"/>
        <v>47.058823529411768</v>
      </c>
      <c r="R122" s="354">
        <f t="shared" si="15"/>
        <v>0</v>
      </c>
      <c r="S122" s="57">
        <f t="shared" si="16"/>
        <v>50.498823529411766</v>
      </c>
    </row>
    <row r="123" spans="1:20" s="317" customFormat="1" x14ac:dyDescent="0.2">
      <c r="A123" s="328" t="s">
        <v>435</v>
      </c>
      <c r="B123" s="254" t="s">
        <v>263</v>
      </c>
      <c r="C123" s="207">
        <v>356</v>
      </c>
      <c r="D123" s="207" t="s">
        <v>257</v>
      </c>
      <c r="E123" s="237" t="s">
        <v>476</v>
      </c>
      <c r="F123" s="207" t="s">
        <v>308</v>
      </c>
      <c r="G123" s="207">
        <v>1</v>
      </c>
      <c r="H123" s="18"/>
      <c r="I123" s="209"/>
      <c r="J123" s="209"/>
      <c r="K123" s="102" t="s">
        <v>1367</v>
      </c>
      <c r="L123" s="102"/>
      <c r="M123" s="13">
        <v>0.35</v>
      </c>
      <c r="N123" s="13">
        <v>18</v>
      </c>
      <c r="O123" s="18">
        <f t="shared" si="14"/>
        <v>6.3</v>
      </c>
      <c r="P123" s="209"/>
      <c r="Q123" s="81">
        <f t="shared" si="13"/>
        <v>0</v>
      </c>
      <c r="R123" s="226">
        <f t="shared" si="15"/>
        <v>0</v>
      </c>
      <c r="S123" s="306">
        <f t="shared" si="16"/>
        <v>6.3</v>
      </c>
    </row>
    <row r="124" spans="1:20" s="317" customFormat="1" x14ac:dyDescent="0.2">
      <c r="A124" s="348" t="s">
        <v>435</v>
      </c>
      <c r="B124" s="12" t="s">
        <v>592</v>
      </c>
      <c r="C124" s="1">
        <v>356</v>
      </c>
      <c r="D124" s="1" t="s">
        <v>257</v>
      </c>
      <c r="E124" s="294" t="s">
        <v>476</v>
      </c>
      <c r="F124" s="1" t="s">
        <v>308</v>
      </c>
      <c r="G124" s="1">
        <v>1</v>
      </c>
      <c r="H124" s="18">
        <v>1.7</v>
      </c>
      <c r="I124" s="209">
        <v>10</v>
      </c>
      <c r="J124" s="18"/>
      <c r="K124" s="102" t="s">
        <v>234</v>
      </c>
      <c r="L124" s="102"/>
      <c r="M124" s="13">
        <f>0.86*2</f>
        <v>1.72</v>
      </c>
      <c r="N124" s="13">
        <f>'PRECIOS INSUMOS 2015'!C$5</f>
        <v>2</v>
      </c>
      <c r="O124" s="18">
        <f t="shared" si="14"/>
        <v>3.44</v>
      </c>
      <c r="P124" s="18">
        <f>G124/H124</f>
        <v>0.58823529411764708</v>
      </c>
      <c r="Q124" s="81">
        <f t="shared" si="13"/>
        <v>47.058823529411768</v>
      </c>
      <c r="R124" s="226">
        <f t="shared" si="15"/>
        <v>0</v>
      </c>
      <c r="S124" s="57">
        <f t="shared" si="16"/>
        <v>50.498823529411766</v>
      </c>
    </row>
    <row r="125" spans="1:20" s="317" customFormat="1" ht="13.5" thickBot="1" x14ac:dyDescent="0.25">
      <c r="A125" s="328" t="s">
        <v>529</v>
      </c>
      <c r="B125" s="254" t="s">
        <v>273</v>
      </c>
      <c r="C125" s="207">
        <v>358</v>
      </c>
      <c r="D125" s="207" t="s">
        <v>266</v>
      </c>
      <c r="E125" s="237" t="s">
        <v>272</v>
      </c>
      <c r="F125" s="207" t="s">
        <v>308</v>
      </c>
      <c r="G125" s="207">
        <v>1</v>
      </c>
      <c r="H125" s="18">
        <v>0.62</v>
      </c>
      <c r="I125" s="209"/>
      <c r="J125" s="209">
        <v>10</v>
      </c>
      <c r="K125" s="102"/>
      <c r="L125" s="102"/>
      <c r="M125" s="13"/>
      <c r="N125" s="13"/>
      <c r="O125" s="18">
        <f t="shared" si="14"/>
        <v>0</v>
      </c>
      <c r="P125" s="209">
        <f>G125/H125</f>
        <v>1.6129032258064517</v>
      </c>
      <c r="Q125" s="81">
        <f t="shared" si="13"/>
        <v>129.03225806451613</v>
      </c>
      <c r="R125" s="226">
        <f t="shared" si="15"/>
        <v>129.03225806451613</v>
      </c>
      <c r="S125" s="306">
        <f t="shared" si="16"/>
        <v>258.06451612903226</v>
      </c>
    </row>
    <row r="126" spans="1:20" ht="13.5" thickBot="1" x14ac:dyDescent="0.25">
      <c r="A126" s="2149" t="s">
        <v>525</v>
      </c>
      <c r="B126" s="2150"/>
      <c r="C126" s="2150"/>
      <c r="D126" s="2150"/>
      <c r="E126" s="2151"/>
      <c r="F126" s="2151"/>
      <c r="G126" s="2151"/>
      <c r="H126" s="339"/>
      <c r="I126" s="340"/>
      <c r="J126" s="340"/>
      <c r="K126" s="14" t="s">
        <v>290</v>
      </c>
      <c r="L126" s="14"/>
      <c r="M126" s="15">
        <f>53*32</f>
        <v>1696</v>
      </c>
      <c r="N126" s="14">
        <v>0.17</v>
      </c>
      <c r="O126" s="361">
        <f>M126*N126</f>
        <v>288.32</v>
      </c>
      <c r="P126" s="362"/>
      <c r="Q126" s="255"/>
      <c r="R126" s="255"/>
      <c r="S126" s="209">
        <f>R126+Q126+O126</f>
        <v>288.32</v>
      </c>
      <c r="T126" s="249"/>
    </row>
    <row r="127" spans="1:20" ht="13.5" thickBot="1" x14ac:dyDescent="0.25">
      <c r="A127" s="2152" t="s">
        <v>219</v>
      </c>
      <c r="B127" s="2153"/>
      <c r="C127" s="16"/>
      <c r="D127" s="342"/>
      <c r="E127" s="344"/>
      <c r="F127" s="342"/>
      <c r="G127" s="342">
        <v>1</v>
      </c>
      <c r="H127" s="343"/>
      <c r="I127" s="209">
        <v>10</v>
      </c>
      <c r="J127" s="209">
        <v>10</v>
      </c>
      <c r="K127" s="344"/>
      <c r="L127" s="344"/>
      <c r="M127" s="19"/>
      <c r="N127" s="19"/>
      <c r="O127" s="19">
        <f>SUM(O9:O126)</f>
        <v>4159.9886289120759</v>
      </c>
      <c r="P127" s="19">
        <f>SUM(P9:P126)</f>
        <v>144.60080023945071</v>
      </c>
      <c r="Q127" s="2154">
        <f>I127*P127*8</f>
        <v>11568.064019156056</v>
      </c>
      <c r="R127" s="2155"/>
      <c r="S127" s="19">
        <f>SUM(S9:S126)</f>
        <v>25016.958403918841</v>
      </c>
    </row>
    <row r="128" spans="1:20" ht="13.5" thickBot="1" x14ac:dyDescent="0.25">
      <c r="A128" s="364"/>
      <c r="B128" s="340"/>
      <c r="C128" s="340"/>
      <c r="D128" s="365"/>
      <c r="E128" s="340"/>
      <c r="F128" s="365"/>
      <c r="G128" s="366"/>
      <c r="H128" s="367"/>
      <c r="I128" s="362"/>
      <c r="J128" s="362"/>
      <c r="K128" s="340"/>
      <c r="L128" s="340"/>
      <c r="M128" s="362"/>
      <c r="N128" s="362"/>
      <c r="O128" s="368"/>
      <c r="P128" s="362"/>
      <c r="Q128" s="2156"/>
      <c r="R128" s="2157"/>
      <c r="S128" s="370"/>
    </row>
    <row r="129" spans="1:19" x14ac:dyDescent="0.2">
      <c r="A129" s="269" t="s">
        <v>250</v>
      </c>
      <c r="B129" s="259"/>
      <c r="C129" s="259"/>
      <c r="D129" s="259"/>
      <c r="E129" s="259"/>
      <c r="F129" s="259"/>
      <c r="G129" s="270"/>
      <c r="H129" s="271"/>
      <c r="I129" s="259"/>
      <c r="J129" s="259"/>
      <c r="K129" s="259"/>
      <c r="L129" s="259"/>
      <c r="M129" s="266"/>
      <c r="N129" s="266"/>
      <c r="O129" s="267"/>
      <c r="P129" s="266"/>
      <c r="Q129" s="2158"/>
      <c r="R129" s="2159"/>
      <c r="S129" s="322" t="s">
        <v>244</v>
      </c>
    </row>
    <row r="130" spans="1:19" ht="13.5" thickBot="1" x14ac:dyDescent="0.25">
      <c r="A130" s="269"/>
      <c r="B130" s="259"/>
      <c r="C130" s="259"/>
      <c r="D130" s="259"/>
      <c r="E130" s="259"/>
      <c r="F130" s="259"/>
      <c r="G130" s="270"/>
      <c r="H130" s="271"/>
      <c r="I130" s="259"/>
      <c r="J130" s="259"/>
      <c r="K130" s="259"/>
      <c r="L130" s="259"/>
      <c r="M130" s="266"/>
      <c r="N130" s="266"/>
      <c r="O130" s="267"/>
      <c r="P130" s="264"/>
      <c r="Q130" s="52"/>
      <c r="R130" s="52"/>
      <c r="S130" s="323">
        <v>39938</v>
      </c>
    </row>
    <row r="131" spans="1:19" ht="13.5" thickBot="1" x14ac:dyDescent="0.25">
      <c r="A131" s="272" t="s">
        <v>251</v>
      </c>
      <c r="B131" s="273"/>
      <c r="C131" s="273"/>
      <c r="D131" s="273"/>
      <c r="E131" s="273"/>
      <c r="F131" s="273"/>
      <c r="G131" s="275"/>
      <c r="H131" s="277"/>
      <c r="I131" s="273"/>
      <c r="J131" s="273"/>
      <c r="K131" s="273"/>
      <c r="L131" s="273"/>
      <c r="M131" s="195"/>
      <c r="N131" s="195"/>
      <c r="O131" s="279"/>
      <c r="P131" s="195"/>
      <c r="Q131" s="280"/>
      <c r="R131" s="280"/>
      <c r="S131" s="325"/>
    </row>
    <row r="132" spans="1:19" x14ac:dyDescent="0.2">
      <c r="A132" s="35"/>
      <c r="B132" s="35"/>
      <c r="C132" s="34"/>
      <c r="D132" s="17"/>
      <c r="E132" s="45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2057"/>
      <c r="Q132" s="2057"/>
      <c r="R132" s="2057"/>
      <c r="S132" s="2057"/>
    </row>
    <row r="133" spans="1:19" x14ac:dyDescent="0.2">
      <c r="M133" s="288">
        <f>SUBTOTAL(9,M9:M132)</f>
        <v>1972.8693144560359</v>
      </c>
    </row>
  </sheetData>
  <autoFilter ref="A8:T127"/>
  <mergeCells count="25">
    <mergeCell ref="F6:F7"/>
    <mergeCell ref="P4:S4"/>
    <mergeCell ref="G5:G7"/>
    <mergeCell ref="P132:S132"/>
    <mergeCell ref="A126:G126"/>
    <mergeCell ref="A127:B127"/>
    <mergeCell ref="Q127:R127"/>
    <mergeCell ref="Q128:R128"/>
    <mergeCell ref="Q129:R129"/>
    <mergeCell ref="H5:H7"/>
    <mergeCell ref="I5:J6"/>
    <mergeCell ref="K5:O6"/>
    <mergeCell ref="A1:S1"/>
    <mergeCell ref="A2:S2"/>
    <mergeCell ref="A3:D3"/>
    <mergeCell ref="E3:I3"/>
    <mergeCell ref="N3:P3"/>
    <mergeCell ref="Q3:R3"/>
    <mergeCell ref="S5:S7"/>
    <mergeCell ref="P5:P7"/>
    <mergeCell ref="Q5:Q7"/>
    <mergeCell ref="A4:A7"/>
    <mergeCell ref="B4:B7"/>
    <mergeCell ref="C4:C7"/>
    <mergeCell ref="D4:O4"/>
  </mergeCells>
  <phoneticPr fontId="7" type="noConversion"/>
  <pageMargins left="0.39370078740157483" right="0" top="0.59055118110236227" bottom="0.19685039370078741" header="0" footer="0"/>
  <pageSetup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2.75" x14ac:dyDescent="0.2"/>
  <cols>
    <col min="1" max="1" width="38.140625" customWidth="1"/>
    <col min="4" max="4" width="10.85546875" style="1718" customWidth="1"/>
    <col min="5" max="5" width="41.7109375" customWidth="1"/>
  </cols>
  <sheetData>
    <row r="1" spans="1:8" x14ac:dyDescent="0.2">
      <c r="B1" s="1575" t="s">
        <v>1967</v>
      </c>
      <c r="D1" s="1718" t="s">
        <v>2053</v>
      </c>
    </row>
    <row r="2" spans="1:8" s="783" customFormat="1" ht="20.65" customHeight="1" x14ac:dyDescent="0.2">
      <c r="A2" s="986" t="s">
        <v>1875</v>
      </c>
      <c r="B2" s="1213">
        <v>696.05</v>
      </c>
      <c r="C2" s="1606">
        <v>2.5897194018285807</v>
      </c>
      <c r="D2" s="997">
        <v>874.45</v>
      </c>
      <c r="E2" s="1182" t="s">
        <v>963</v>
      </c>
      <c r="F2" s="1030"/>
      <c r="G2" s="1031"/>
      <c r="H2" s="1031"/>
    </row>
    <row r="3" spans="1:8" s="783" customFormat="1" ht="20.65" customHeight="1" x14ac:dyDescent="0.2">
      <c r="A3" s="986" t="s">
        <v>1876</v>
      </c>
      <c r="B3" s="1213">
        <v>244.03574999999995</v>
      </c>
      <c r="C3" s="1606">
        <v>0.90795792904933403</v>
      </c>
      <c r="D3" s="997">
        <v>1093.33</v>
      </c>
      <c r="E3" s="1182" t="s">
        <v>963</v>
      </c>
      <c r="F3" s="1030"/>
      <c r="G3" s="1031"/>
      <c r="H3" s="1031"/>
    </row>
    <row r="4" spans="1:8" s="783" customFormat="1" ht="20.65" customHeight="1" x14ac:dyDescent="0.2">
      <c r="A4" s="986" t="s">
        <v>1877</v>
      </c>
      <c r="B4" s="1213">
        <v>1320</v>
      </c>
      <c r="C4" s="1606">
        <v>4.9111839816302369</v>
      </c>
      <c r="D4" s="997">
        <v>698.1</v>
      </c>
      <c r="E4" s="1182" t="s">
        <v>963</v>
      </c>
      <c r="F4" s="1030"/>
      <c r="G4" s="1031"/>
      <c r="H4" s="1031"/>
    </row>
    <row r="5" spans="1:8" s="783" customFormat="1" ht="20.65" customHeight="1" x14ac:dyDescent="0.2">
      <c r="A5" s="1715"/>
      <c r="B5" s="1716">
        <f>B2+B3+B4</f>
        <v>2260.0857500000002</v>
      </c>
      <c r="C5" s="1716"/>
      <c r="D5" s="1719">
        <f>D2+D3+D4</f>
        <v>2665.88</v>
      </c>
      <c r="E5" s="1717"/>
      <c r="F5" s="1030"/>
      <c r="G5" s="1031"/>
      <c r="H5" s="1031"/>
    </row>
    <row r="6" spans="1:8" s="785" customFormat="1" ht="20.65" customHeight="1" x14ac:dyDescent="0.2">
      <c r="A6" s="986" t="s">
        <v>1875</v>
      </c>
      <c r="B6" s="1213">
        <v>55.374000000000002</v>
      </c>
      <c r="C6" s="1606">
        <v>0.22668961086700234</v>
      </c>
      <c r="D6" s="997">
        <v>72.88</v>
      </c>
      <c r="E6" s="1182" t="s">
        <v>1370</v>
      </c>
      <c r="F6" s="1033"/>
      <c r="G6" s="1034"/>
      <c r="H6" s="1034"/>
    </row>
    <row r="7" spans="1:8" s="785" customFormat="1" ht="20.65" customHeight="1" x14ac:dyDescent="0.2">
      <c r="A7" s="986" t="s">
        <v>1876</v>
      </c>
      <c r="B7" s="1213">
        <v>348.6225</v>
      </c>
      <c r="C7" s="1606">
        <v>1.4271878293871043</v>
      </c>
      <c r="D7" s="997">
        <v>347.67</v>
      </c>
      <c r="E7" s="1182" t="s">
        <v>1370</v>
      </c>
      <c r="F7" s="1033"/>
      <c r="G7" s="1034"/>
      <c r="H7" s="1034"/>
    </row>
    <row r="8" spans="1:8" s="785" customFormat="1" ht="20.65" customHeight="1" x14ac:dyDescent="0.2">
      <c r="A8" s="986" t="s">
        <v>1877</v>
      </c>
      <c r="B8" s="1213">
        <v>540</v>
      </c>
      <c r="C8" s="1606">
        <v>2.2106474133741694</v>
      </c>
      <c r="D8" s="997">
        <v>483.3</v>
      </c>
      <c r="E8" s="1182" t="s">
        <v>1370</v>
      </c>
      <c r="F8" s="1033"/>
      <c r="G8" s="1034"/>
      <c r="H8" s="1034"/>
    </row>
    <row r="9" spans="1:8" s="785" customFormat="1" ht="20.65" customHeight="1" x14ac:dyDescent="0.2">
      <c r="A9" s="1715"/>
      <c r="B9" s="1716">
        <f>B6+B7+B8</f>
        <v>943.99649999999997</v>
      </c>
      <c r="C9" s="1716"/>
      <c r="D9" s="1719">
        <f>D6+D7+D8</f>
        <v>903.85</v>
      </c>
      <c r="E9" s="1717"/>
      <c r="F9" s="1033"/>
      <c r="G9" s="1034"/>
      <c r="H9" s="1034"/>
    </row>
    <row r="10" spans="1:8" s="783" customFormat="1" ht="20.65" customHeight="1" x14ac:dyDescent="0.2">
      <c r="A10" s="986" t="s">
        <v>1875</v>
      </c>
      <c r="B10" s="1213">
        <v>55.374000000000002</v>
      </c>
      <c r="C10" s="1606">
        <v>0.23356314449671137</v>
      </c>
      <c r="D10" s="997">
        <v>72.88</v>
      </c>
      <c r="E10" s="1182" t="s">
        <v>1371</v>
      </c>
      <c r="F10" s="1191"/>
      <c r="G10" s="1192"/>
      <c r="H10" s="1031"/>
    </row>
    <row r="11" spans="1:8" s="783" customFormat="1" ht="20.65" customHeight="1" x14ac:dyDescent="0.2">
      <c r="A11" s="986" t="s">
        <v>1876</v>
      </c>
      <c r="B11" s="1213">
        <v>348.6225</v>
      </c>
      <c r="C11" s="1606">
        <v>1.4704620822462664</v>
      </c>
      <c r="D11" s="997">
        <v>347.67</v>
      </c>
      <c r="E11" s="1182" t="s">
        <v>1371</v>
      </c>
      <c r="F11" s="1191"/>
      <c r="G11" s="1192"/>
      <c r="H11" s="1031"/>
    </row>
    <row r="12" spans="1:8" s="783" customFormat="1" ht="20.65" customHeight="1" x14ac:dyDescent="0.2">
      <c r="A12" s="986" t="s">
        <v>1877</v>
      </c>
      <c r="B12" s="1213">
        <v>540</v>
      </c>
      <c r="C12" s="1606">
        <v>2.277677213642217</v>
      </c>
      <c r="D12" s="997">
        <v>483.3</v>
      </c>
      <c r="E12" s="1182" t="s">
        <v>1371</v>
      </c>
      <c r="F12" s="1191"/>
      <c r="G12" s="1192"/>
      <c r="H12" s="1031"/>
    </row>
    <row r="13" spans="1:8" s="783" customFormat="1" ht="20.65" customHeight="1" x14ac:dyDescent="0.2">
      <c r="A13" s="1715"/>
      <c r="B13" s="1716">
        <f>B10+B11+B12</f>
        <v>943.99649999999997</v>
      </c>
      <c r="C13" s="1716"/>
      <c r="D13" s="1719">
        <f>D10+D11+D12</f>
        <v>903.85</v>
      </c>
      <c r="E13" s="1717"/>
      <c r="F13" s="1191"/>
      <c r="G13" s="1192"/>
      <c r="H13" s="1031"/>
    </row>
    <row r="14" spans="1:8" s="1671" customFormat="1" ht="20.65" customHeight="1" x14ac:dyDescent="0.2">
      <c r="A14" s="1665" t="s">
        <v>1875</v>
      </c>
      <c r="B14" s="1666">
        <v>3873.93</v>
      </c>
      <c r="C14" s="1667">
        <v>17.11016006209724</v>
      </c>
      <c r="D14" s="1720">
        <v>3873.93</v>
      </c>
      <c r="E14" s="1668" t="s">
        <v>1377</v>
      </c>
      <c r="F14" s="1669"/>
      <c r="G14" s="1670"/>
      <c r="H14" s="1670"/>
    </row>
    <row r="15" spans="1:8" s="783" customFormat="1" ht="20.65" customHeight="1" x14ac:dyDescent="0.2">
      <c r="A15" s="986" t="s">
        <v>1876</v>
      </c>
      <c r="B15" s="1213">
        <v>1093.3295999999998</v>
      </c>
      <c r="C15" s="1605">
        <v>4.8289577913459327</v>
      </c>
      <c r="D15" s="997">
        <v>1093.33</v>
      </c>
      <c r="E15" s="1182" t="s">
        <v>1377</v>
      </c>
      <c r="F15" s="1030"/>
      <c r="G15" s="1031"/>
      <c r="H15" s="1031"/>
    </row>
    <row r="16" spans="1:8" s="783" customFormat="1" ht="20.65" customHeight="1" x14ac:dyDescent="0.2">
      <c r="A16" s="986" t="s">
        <v>1878</v>
      </c>
      <c r="B16" s="1245">
        <v>2179.7721599999995</v>
      </c>
      <c r="C16" s="1605">
        <v>9.6274972847995262</v>
      </c>
      <c r="D16" s="997">
        <v>2179.77</v>
      </c>
      <c r="E16" s="1182" t="s">
        <v>1377</v>
      </c>
      <c r="F16" s="1188"/>
      <c r="G16" s="1183"/>
      <c r="H16" s="1015"/>
    </row>
    <row r="17" spans="1:8" s="783" customFormat="1" ht="20.65" customHeight="1" x14ac:dyDescent="0.2">
      <c r="A17" s="986" t="s">
        <v>1877</v>
      </c>
      <c r="B17" s="1245">
        <v>698.09999999999991</v>
      </c>
      <c r="C17" s="1605">
        <v>3.0833295230812334</v>
      </c>
      <c r="D17" s="997">
        <v>698.1</v>
      </c>
      <c r="E17" s="1182" t="s">
        <v>1377</v>
      </c>
      <c r="F17" s="1188"/>
      <c r="G17" s="1183"/>
      <c r="H17" s="1015"/>
    </row>
    <row r="18" spans="1:8" s="783" customFormat="1" ht="20.65" customHeight="1" x14ac:dyDescent="0.2">
      <c r="A18" s="986" t="s">
        <v>1875</v>
      </c>
      <c r="B18" s="1213">
        <v>3873.93</v>
      </c>
      <c r="C18" s="1605">
        <v>17.062294832052068</v>
      </c>
      <c r="D18" s="997"/>
      <c r="E18" s="1182" t="s">
        <v>1372</v>
      </c>
      <c r="F18" s="1030"/>
      <c r="G18" s="1031"/>
      <c r="H18" s="1031"/>
    </row>
    <row r="19" spans="1:8" s="783" customFormat="1" ht="20.65" customHeight="1" x14ac:dyDescent="0.2">
      <c r="A19" s="986" t="s">
        <v>1876</v>
      </c>
      <c r="B19" s="1213">
        <v>1093.3295999999998</v>
      </c>
      <c r="C19" s="1605">
        <v>4.8154489068748152</v>
      </c>
      <c r="D19" s="997"/>
      <c r="E19" s="1182" t="s">
        <v>1372</v>
      </c>
      <c r="F19" s="1030"/>
      <c r="G19" s="1031"/>
      <c r="H19" s="1031"/>
    </row>
    <row r="20" spans="1:8" s="783" customFormat="1" ht="20.65" customHeight="1" x14ac:dyDescent="0.2">
      <c r="A20" s="986" t="s">
        <v>1878</v>
      </c>
      <c r="B20" s="1245">
        <v>2179.7721599999995</v>
      </c>
      <c r="C20" s="1605">
        <v>9.6005646102585658</v>
      </c>
      <c r="D20" s="997"/>
      <c r="E20" s="1182" t="s">
        <v>1372</v>
      </c>
      <c r="F20" s="1030"/>
      <c r="G20" s="1031"/>
      <c r="H20" s="1031"/>
    </row>
    <row r="21" spans="1:8" s="783" customFormat="1" ht="20.65" customHeight="1" x14ac:dyDescent="0.2">
      <c r="A21" s="1240" t="s">
        <v>1875</v>
      </c>
      <c r="B21" s="1213">
        <v>874.45200000000011</v>
      </c>
      <c r="C21" s="1606">
        <v>5.3804772942839243</v>
      </c>
      <c r="D21" s="997"/>
      <c r="E21" s="1182" t="s">
        <v>28</v>
      </c>
      <c r="F21" s="1030"/>
      <c r="G21" s="1031"/>
      <c r="H21" s="1031"/>
    </row>
    <row r="22" spans="1:8" s="783" customFormat="1" ht="20.65" customHeight="1" x14ac:dyDescent="0.2">
      <c r="A22" s="1240" t="s">
        <v>1876</v>
      </c>
      <c r="B22" s="1213">
        <v>243.36899999999997</v>
      </c>
      <c r="C22" s="1606">
        <v>1.4974422594179944</v>
      </c>
      <c r="D22" s="997"/>
      <c r="E22" s="1182" t="s">
        <v>28</v>
      </c>
      <c r="F22" s="1030"/>
      <c r="G22" s="1031"/>
      <c r="H22" s="1031"/>
    </row>
    <row r="23" spans="1:8" s="783" customFormat="1" ht="20.65" customHeight="1" x14ac:dyDescent="0.2">
      <c r="A23" s="1240" t="s">
        <v>1875</v>
      </c>
      <c r="B23" s="1220">
        <v>3873.93</v>
      </c>
      <c r="C23" s="1605">
        <v>6.9676795731433003</v>
      </c>
      <c r="D23" s="997"/>
      <c r="E23" s="1182" t="s">
        <v>1373</v>
      </c>
      <c r="F23" s="1030"/>
      <c r="G23" s="1031"/>
      <c r="H23" s="1031"/>
    </row>
    <row r="24" spans="1:8" s="783" customFormat="1" ht="20.65" customHeight="1" x14ac:dyDescent="0.2">
      <c r="A24" s="1240" t="s">
        <v>1876</v>
      </c>
      <c r="B24" s="1220">
        <v>1093.3295999999998</v>
      </c>
      <c r="C24" s="1605">
        <v>1.9664708243651625</v>
      </c>
      <c r="D24" s="997"/>
      <c r="E24" s="1182" t="s">
        <v>1373</v>
      </c>
      <c r="F24" s="1030"/>
      <c r="G24" s="1031"/>
      <c r="H24" s="1031"/>
    </row>
    <row r="25" spans="1:8" s="783" customFormat="1" ht="20.65" customHeight="1" x14ac:dyDescent="0.2">
      <c r="A25" s="1240" t="s">
        <v>1878</v>
      </c>
      <c r="B25" s="1220">
        <v>2179.7721599999995</v>
      </c>
      <c r="C25" s="1605">
        <v>3.9205545668967812</v>
      </c>
      <c r="D25" s="997"/>
      <c r="E25" s="1182" t="s">
        <v>1373</v>
      </c>
      <c r="F25" s="1030"/>
      <c r="G25" s="1031"/>
      <c r="H25" s="1031"/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indexed="14"/>
  </sheetPr>
  <dimension ref="A1:U134"/>
  <sheetViews>
    <sheetView showGridLines="0" showZeros="0" defaultGridColor="0" colorId="23" zoomScaleNormal="100" workbookViewId="0">
      <pane xSplit="3" ySplit="8" topLeftCell="G9" activePane="bottomRight" state="frozen"/>
      <selection activeCell="O3" sqref="O3"/>
      <selection pane="topRight" activeCell="O3" sqref="O3"/>
      <selection pane="bottomLeft" activeCell="O3" sqref="O3"/>
      <selection pane="bottomRight" activeCell="T11" sqref="T11"/>
    </sheetView>
  </sheetViews>
  <sheetFormatPr baseColWidth="10" defaultColWidth="11.42578125" defaultRowHeight="12.75" x14ac:dyDescent="0.2"/>
  <cols>
    <col min="1" max="1" width="4.28515625" style="282" customWidth="1"/>
    <col min="2" max="2" width="18.28515625" style="283" customWidth="1"/>
    <col min="3" max="3" width="4.28515625" style="283" customWidth="1"/>
    <col min="4" max="4" width="9.7109375" style="282" customWidth="1"/>
    <col min="5" max="5" width="10.42578125" style="282" customWidth="1"/>
    <col min="6" max="7" width="4.28515625" style="282" customWidth="1"/>
    <col min="8" max="8" width="8" style="330" customWidth="1"/>
    <col min="9" max="10" width="8" style="330" hidden="1" customWidth="1"/>
    <col min="11" max="12" width="6.28515625" style="288" customWidth="1"/>
    <col min="13" max="13" width="11.5703125" style="283" customWidth="1"/>
    <col min="14" max="14" width="6.7109375" style="288" customWidth="1"/>
    <col min="15" max="15" width="7.5703125" style="288" customWidth="1"/>
    <col min="16" max="16" width="8.28515625" style="289" customWidth="1"/>
    <col min="17" max="17" width="6.7109375" style="288" customWidth="1"/>
    <col min="18" max="18" width="7.7109375" style="290" customWidth="1"/>
    <col min="19" max="19" width="9.42578125" style="288" customWidth="1"/>
    <col min="20" max="20" width="9.28515625" style="191" customWidth="1"/>
    <col min="21" max="16384" width="11.42578125" style="191"/>
  </cols>
  <sheetData>
    <row r="1" spans="1:19" ht="20.25" x14ac:dyDescent="0.3">
      <c r="A1" s="2062" t="s">
        <v>231</v>
      </c>
      <c r="B1" s="2063"/>
      <c r="C1" s="2063"/>
      <c r="D1" s="2063"/>
      <c r="E1" s="2063"/>
      <c r="F1" s="2063"/>
      <c r="G1" s="2063"/>
      <c r="H1" s="2063"/>
      <c r="I1" s="2063"/>
      <c r="J1" s="2063"/>
      <c r="K1" s="2063"/>
      <c r="L1" s="2063"/>
      <c r="M1" s="2063"/>
      <c r="N1" s="2063"/>
      <c r="O1" s="2063"/>
      <c r="P1" s="2063"/>
      <c r="Q1" s="2063"/>
      <c r="R1" s="2063"/>
      <c r="S1" s="2066"/>
    </row>
    <row r="2" spans="1:19" ht="15.75" x14ac:dyDescent="0.25">
      <c r="A2" s="2067" t="s">
        <v>630</v>
      </c>
      <c r="B2" s="2068"/>
      <c r="C2" s="2068"/>
      <c r="D2" s="2068"/>
      <c r="E2" s="2068"/>
      <c r="F2" s="2068"/>
      <c r="G2" s="2068"/>
      <c r="H2" s="2068"/>
      <c r="I2" s="2068"/>
      <c r="J2" s="2068"/>
      <c r="K2" s="2068"/>
      <c r="L2" s="2068"/>
      <c r="M2" s="2068"/>
      <c r="N2" s="2068"/>
      <c r="O2" s="2068"/>
      <c r="P2" s="2068"/>
      <c r="Q2" s="2068"/>
      <c r="R2" s="2068"/>
      <c r="S2" s="2071"/>
    </row>
    <row r="3" spans="1:19" ht="16.5" thickBot="1" x14ac:dyDescent="0.3">
      <c r="A3" s="2163" t="s">
        <v>27</v>
      </c>
      <c r="B3" s="2164"/>
      <c r="C3" s="2164"/>
      <c r="D3" s="2164"/>
      <c r="E3" s="2077" t="s">
        <v>277</v>
      </c>
      <c r="F3" s="2077"/>
      <c r="G3" s="2077"/>
      <c r="H3" s="2077"/>
      <c r="I3" s="2077"/>
      <c r="J3" s="2077"/>
      <c r="K3" s="2077"/>
      <c r="L3" s="89">
        <f>DATOS!D8</f>
        <v>23455.887424</v>
      </c>
      <c r="M3" s="273" t="s">
        <v>278</v>
      </c>
      <c r="N3" s="195"/>
      <c r="O3" s="2077" t="s">
        <v>279</v>
      </c>
      <c r="P3" s="2077"/>
      <c r="Q3" s="2077"/>
      <c r="R3" s="89"/>
      <c r="S3" s="20"/>
    </row>
    <row r="4" spans="1:19" ht="13.5" thickBot="1" x14ac:dyDescent="0.25">
      <c r="A4" s="2102" t="s">
        <v>223</v>
      </c>
      <c r="B4" s="2110" t="s">
        <v>224</v>
      </c>
      <c r="C4" s="2141" t="s">
        <v>252</v>
      </c>
      <c r="D4" s="2056" t="s">
        <v>216</v>
      </c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9"/>
      <c r="Q4" s="2057" t="s">
        <v>217</v>
      </c>
      <c r="R4" s="2057"/>
      <c r="S4" s="2059"/>
    </row>
    <row r="5" spans="1:19" x14ac:dyDescent="0.2">
      <c r="A5" s="2102"/>
      <c r="B5" s="2110"/>
      <c r="C5" s="2116"/>
      <c r="D5" s="22"/>
      <c r="E5" s="23"/>
      <c r="F5" s="22"/>
      <c r="G5" s="2081" t="s">
        <v>287</v>
      </c>
      <c r="H5" s="2137" t="s">
        <v>288</v>
      </c>
      <c r="I5" s="112"/>
      <c r="J5" s="112"/>
      <c r="K5" s="2089" t="s">
        <v>235</v>
      </c>
      <c r="L5" s="2091"/>
      <c r="M5" s="2089" t="s">
        <v>218</v>
      </c>
      <c r="N5" s="2090"/>
      <c r="O5" s="2090"/>
      <c r="P5" s="2091"/>
      <c r="Q5" s="2144" t="s">
        <v>221</v>
      </c>
      <c r="R5" s="181" t="s">
        <v>222</v>
      </c>
      <c r="S5" s="2141" t="s">
        <v>296</v>
      </c>
    </row>
    <row r="6" spans="1:19" ht="13.5" thickBot="1" x14ac:dyDescent="0.25">
      <c r="A6" s="2102"/>
      <c r="B6" s="2110"/>
      <c r="C6" s="2116"/>
      <c r="D6" s="32" t="s">
        <v>236</v>
      </c>
      <c r="E6" s="91" t="s">
        <v>237</v>
      </c>
      <c r="F6" s="2161" t="s">
        <v>226</v>
      </c>
      <c r="G6" s="2082"/>
      <c r="H6" s="2138"/>
      <c r="I6" s="371"/>
      <c r="J6" s="371"/>
      <c r="K6" s="2092"/>
      <c r="L6" s="2094"/>
      <c r="M6" s="2092"/>
      <c r="N6" s="2093"/>
      <c r="O6" s="2093"/>
      <c r="P6" s="2094"/>
      <c r="Q6" s="2145"/>
      <c r="R6" s="35"/>
      <c r="S6" s="2142"/>
    </row>
    <row r="7" spans="1:19" ht="13.5" thickBot="1" x14ac:dyDescent="0.25">
      <c r="A7" s="2103"/>
      <c r="B7" s="2111"/>
      <c r="C7" s="2117"/>
      <c r="D7" s="90" t="s">
        <v>238</v>
      </c>
      <c r="E7" s="94" t="s">
        <v>238</v>
      </c>
      <c r="F7" s="2162"/>
      <c r="G7" s="2083"/>
      <c r="H7" s="2139"/>
      <c r="I7" s="301"/>
      <c r="J7" s="301"/>
      <c r="K7" s="30" t="s">
        <v>239</v>
      </c>
      <c r="L7" s="49" t="s">
        <v>240</v>
      </c>
      <c r="M7" s="30" t="s">
        <v>225</v>
      </c>
      <c r="N7" s="97" t="s">
        <v>220</v>
      </c>
      <c r="O7" s="30" t="s">
        <v>227</v>
      </c>
      <c r="P7" s="49" t="s">
        <v>241</v>
      </c>
      <c r="Q7" s="2160"/>
      <c r="R7" s="29" t="s">
        <v>239</v>
      </c>
      <c r="S7" s="2143"/>
    </row>
    <row r="8" spans="1:19" s="196" customFormat="1" ht="13.5" thickBot="1" x14ac:dyDescent="0.25">
      <c r="A8" s="30">
        <v>1</v>
      </c>
      <c r="B8" s="30">
        <v>2</v>
      </c>
      <c r="C8" s="48">
        <v>3</v>
      </c>
      <c r="D8" s="30">
        <v>5</v>
      </c>
      <c r="E8" s="30">
        <v>6</v>
      </c>
      <c r="F8" s="30">
        <v>7</v>
      </c>
      <c r="G8" s="30">
        <v>8</v>
      </c>
      <c r="H8" s="30">
        <v>9</v>
      </c>
      <c r="I8" s="30"/>
      <c r="J8" s="30"/>
      <c r="K8" s="30">
        <v>10</v>
      </c>
      <c r="L8" s="49">
        <v>11</v>
      </c>
      <c r="M8" s="49">
        <v>12</v>
      </c>
      <c r="N8" s="49">
        <v>13</v>
      </c>
      <c r="O8" s="30">
        <v>14</v>
      </c>
      <c r="P8" s="49" t="s">
        <v>289</v>
      </c>
      <c r="Q8" s="30">
        <v>16</v>
      </c>
      <c r="R8" s="30" t="s">
        <v>280</v>
      </c>
      <c r="S8" s="30" t="s">
        <v>282</v>
      </c>
    </row>
    <row r="9" spans="1:19" x14ac:dyDescent="0.2">
      <c r="A9" s="302" t="s">
        <v>441</v>
      </c>
      <c r="B9" s="372" t="s">
        <v>253</v>
      </c>
      <c r="C9" s="304">
        <v>-45</v>
      </c>
      <c r="D9" s="304" t="s">
        <v>257</v>
      </c>
      <c r="E9" s="372" t="s">
        <v>327</v>
      </c>
      <c r="F9" s="304" t="s">
        <v>308</v>
      </c>
      <c r="G9" s="304">
        <v>1</v>
      </c>
      <c r="H9" s="372">
        <v>1.25</v>
      </c>
      <c r="I9" s="372"/>
      <c r="J9" s="372"/>
      <c r="K9" s="306"/>
      <c r="L9" s="306">
        <v>10</v>
      </c>
      <c r="M9" s="373" t="s">
        <v>234</v>
      </c>
      <c r="N9" s="306">
        <v>32.4</v>
      </c>
      <c r="O9" s="47">
        <f>'PRECIOS INSUMOS 2015'!C$5</f>
        <v>2</v>
      </c>
      <c r="P9" s="57">
        <f t="shared" ref="P9:P40" si="0">O9*N9</f>
        <v>64.8</v>
      </c>
      <c r="Q9" s="306">
        <f t="shared" ref="Q9:Q16" si="1">G9/H9</f>
        <v>0.8</v>
      </c>
      <c r="R9" s="308">
        <f>(K9+L9)*Q9*8</f>
        <v>64</v>
      </c>
      <c r="S9" s="306">
        <f>R9+P9</f>
        <v>128.80000000000001</v>
      </c>
    </row>
    <row r="10" spans="1:19" x14ac:dyDescent="0.2">
      <c r="A10" s="302" t="s">
        <v>442</v>
      </c>
      <c r="B10" s="206" t="s">
        <v>328</v>
      </c>
      <c r="C10" s="207">
        <v>-30</v>
      </c>
      <c r="D10" s="304" t="s">
        <v>257</v>
      </c>
      <c r="E10" s="206" t="s">
        <v>329</v>
      </c>
      <c r="F10" s="304" t="s">
        <v>308</v>
      </c>
      <c r="G10" s="207">
        <v>1</v>
      </c>
      <c r="H10" s="206">
        <v>4</v>
      </c>
      <c r="I10" s="372"/>
      <c r="J10" s="372"/>
      <c r="K10" s="306">
        <v>10</v>
      </c>
      <c r="L10" s="209"/>
      <c r="M10" s="373" t="s">
        <v>234</v>
      </c>
      <c r="N10" s="306">
        <v>3.12</v>
      </c>
      <c r="O10" s="47">
        <f>'PRECIOS INSUMOS 2015'!C$5</f>
        <v>2</v>
      </c>
      <c r="P10" s="18">
        <f t="shared" si="0"/>
        <v>6.24</v>
      </c>
      <c r="Q10" s="209">
        <f t="shared" si="1"/>
        <v>0.25</v>
      </c>
      <c r="R10" s="308">
        <f t="shared" ref="R10:R73" si="2">(K10+L10)*Q10*8</f>
        <v>20</v>
      </c>
      <c r="S10" s="306">
        <f t="shared" ref="S10:S73" si="3">R10+P10</f>
        <v>26.240000000000002</v>
      </c>
    </row>
    <row r="11" spans="1:19" x14ac:dyDescent="0.2">
      <c r="A11" s="302" t="s">
        <v>443</v>
      </c>
      <c r="B11" s="206" t="s">
        <v>258</v>
      </c>
      <c r="C11" s="207">
        <v>-20</v>
      </c>
      <c r="D11" s="304" t="s">
        <v>257</v>
      </c>
      <c r="E11" s="206" t="s">
        <v>327</v>
      </c>
      <c r="F11" s="304" t="s">
        <v>308</v>
      </c>
      <c r="G11" s="207">
        <v>1</v>
      </c>
      <c r="H11" s="206">
        <v>1.25</v>
      </c>
      <c r="I11" s="372"/>
      <c r="J11" s="372"/>
      <c r="K11" s="306">
        <v>10</v>
      </c>
      <c r="L11" s="209"/>
      <c r="M11" s="373" t="s">
        <v>234</v>
      </c>
      <c r="N11" s="306">
        <v>22.68</v>
      </c>
      <c r="O11" s="47">
        <f>'PRECIOS INSUMOS 2015'!C$5</f>
        <v>2</v>
      </c>
      <c r="P11" s="18">
        <f t="shared" si="0"/>
        <v>45.36</v>
      </c>
      <c r="Q11" s="209">
        <f t="shared" si="1"/>
        <v>0.8</v>
      </c>
      <c r="R11" s="308">
        <f t="shared" si="2"/>
        <v>64</v>
      </c>
      <c r="S11" s="306">
        <f t="shared" si="3"/>
        <v>109.36</v>
      </c>
    </row>
    <row r="12" spans="1:19" x14ac:dyDescent="0.2">
      <c r="A12" s="302" t="s">
        <v>444</v>
      </c>
      <c r="B12" s="206" t="s">
        <v>328</v>
      </c>
      <c r="C12" s="207">
        <v>-15</v>
      </c>
      <c r="D12" s="304" t="s">
        <v>257</v>
      </c>
      <c r="E12" s="206" t="s">
        <v>329</v>
      </c>
      <c r="F12" s="304" t="s">
        <v>308</v>
      </c>
      <c r="G12" s="207">
        <v>1</v>
      </c>
      <c r="H12" s="206">
        <v>4</v>
      </c>
      <c r="I12" s="372"/>
      <c r="J12" s="372"/>
      <c r="K12" s="306">
        <v>10</v>
      </c>
      <c r="L12" s="209"/>
      <c r="M12" s="373" t="s">
        <v>234</v>
      </c>
      <c r="N12" s="306">
        <v>3.12</v>
      </c>
      <c r="O12" s="47">
        <f>'PRECIOS INSUMOS 2015'!C$5</f>
        <v>2</v>
      </c>
      <c r="P12" s="18">
        <f t="shared" si="0"/>
        <v>6.24</v>
      </c>
      <c r="Q12" s="209">
        <f t="shared" si="1"/>
        <v>0.25</v>
      </c>
      <c r="R12" s="308">
        <f t="shared" si="2"/>
        <v>20</v>
      </c>
      <c r="S12" s="306">
        <f t="shared" si="3"/>
        <v>26.240000000000002</v>
      </c>
    </row>
    <row r="13" spans="1:19" x14ac:dyDescent="0.2">
      <c r="A13" s="302" t="s">
        <v>445</v>
      </c>
      <c r="B13" s="206" t="s">
        <v>440</v>
      </c>
      <c r="C13" s="207">
        <v>-12</v>
      </c>
      <c r="D13" s="304" t="s">
        <v>257</v>
      </c>
      <c r="E13" s="206" t="s">
        <v>330</v>
      </c>
      <c r="F13" s="304" t="s">
        <v>308</v>
      </c>
      <c r="G13" s="207">
        <v>1</v>
      </c>
      <c r="H13" s="206">
        <v>0.21</v>
      </c>
      <c r="I13" s="372"/>
      <c r="J13" s="372"/>
      <c r="K13" s="306">
        <v>10</v>
      </c>
      <c r="L13" s="209"/>
      <c r="M13" s="373" t="s">
        <v>234</v>
      </c>
      <c r="N13" s="306">
        <v>6.67</v>
      </c>
      <c r="O13" s="47">
        <f>'PRECIOS INSUMOS 2015'!C$5</f>
        <v>2</v>
      </c>
      <c r="P13" s="18">
        <f t="shared" si="0"/>
        <v>13.34</v>
      </c>
      <c r="Q13" s="209">
        <f t="shared" si="1"/>
        <v>4.7619047619047619</v>
      </c>
      <c r="R13" s="308">
        <f t="shared" si="2"/>
        <v>380.95238095238096</v>
      </c>
      <c r="S13" s="306">
        <f t="shared" si="3"/>
        <v>394.29238095238094</v>
      </c>
    </row>
    <row r="14" spans="1:19" x14ac:dyDescent="0.2">
      <c r="A14" s="302" t="s">
        <v>446</v>
      </c>
      <c r="B14" s="211" t="s">
        <v>332</v>
      </c>
      <c r="C14" s="207">
        <v>-3</v>
      </c>
      <c r="D14" s="304" t="s">
        <v>257</v>
      </c>
      <c r="E14" s="206" t="s">
        <v>333</v>
      </c>
      <c r="F14" s="207" t="s">
        <v>437</v>
      </c>
      <c r="G14" s="207">
        <v>0.8</v>
      </c>
      <c r="H14" s="206">
        <v>8</v>
      </c>
      <c r="I14" s="372"/>
      <c r="J14" s="372"/>
      <c r="K14" s="306">
        <v>10</v>
      </c>
      <c r="L14" s="209"/>
      <c r="M14" s="373" t="s">
        <v>633</v>
      </c>
      <c r="N14" s="209">
        <v>0.8</v>
      </c>
      <c r="O14" s="47">
        <f>'PRECIOS INSUMOS 2015'!E$158</f>
        <v>2000</v>
      </c>
      <c r="P14" s="18">
        <f t="shared" si="0"/>
        <v>1600</v>
      </c>
      <c r="Q14" s="209">
        <f t="shared" si="1"/>
        <v>0.1</v>
      </c>
      <c r="R14" s="308">
        <f t="shared" si="2"/>
        <v>8</v>
      </c>
      <c r="S14" s="306">
        <f t="shared" si="3"/>
        <v>1608</v>
      </c>
    </row>
    <row r="15" spans="1:19" x14ac:dyDescent="0.2">
      <c r="A15" s="302" t="s">
        <v>447</v>
      </c>
      <c r="B15" s="206" t="s">
        <v>331</v>
      </c>
      <c r="C15" s="207">
        <v>-3</v>
      </c>
      <c r="D15" s="304" t="s">
        <v>257</v>
      </c>
      <c r="E15" s="212" t="s">
        <v>305</v>
      </c>
      <c r="F15" s="207" t="s">
        <v>437</v>
      </c>
      <c r="G15" s="207">
        <v>0.8</v>
      </c>
      <c r="H15" s="206">
        <v>1.49</v>
      </c>
      <c r="I15" s="372"/>
      <c r="J15" s="372"/>
      <c r="K15" s="306">
        <v>10</v>
      </c>
      <c r="L15" s="209"/>
      <c r="M15" s="296" t="s">
        <v>234</v>
      </c>
      <c r="N15" s="209">
        <f>0.86*0.8</f>
        <v>0.68800000000000006</v>
      </c>
      <c r="O15" s="47">
        <f>'PRECIOS INSUMOS 2015'!C$5</f>
        <v>2</v>
      </c>
      <c r="P15" s="18">
        <f t="shared" si="0"/>
        <v>1.3760000000000001</v>
      </c>
      <c r="Q15" s="209">
        <f t="shared" si="1"/>
        <v>0.53691275167785235</v>
      </c>
      <c r="R15" s="308">
        <f t="shared" si="2"/>
        <v>42.95302013422819</v>
      </c>
      <c r="S15" s="306">
        <f t="shared" si="3"/>
        <v>44.329020134228188</v>
      </c>
    </row>
    <row r="16" spans="1:19" x14ac:dyDescent="0.2">
      <c r="A16" s="302" t="s">
        <v>448</v>
      </c>
      <c r="B16" s="206" t="s">
        <v>338</v>
      </c>
      <c r="C16" s="207">
        <v>-3</v>
      </c>
      <c r="D16" s="207"/>
      <c r="E16" s="206" t="s">
        <v>266</v>
      </c>
      <c r="F16" s="207" t="s">
        <v>310</v>
      </c>
      <c r="G16" s="207">
        <v>90</v>
      </c>
      <c r="H16" s="206">
        <v>10</v>
      </c>
      <c r="I16" s="372"/>
      <c r="J16" s="372"/>
      <c r="K16" s="306"/>
      <c r="L16" s="209">
        <v>10</v>
      </c>
      <c r="M16" s="296"/>
      <c r="N16" s="209"/>
      <c r="O16" s="13"/>
      <c r="P16" s="18">
        <f t="shared" si="0"/>
        <v>0</v>
      </c>
      <c r="Q16" s="209">
        <f t="shared" si="1"/>
        <v>9</v>
      </c>
      <c r="R16" s="308">
        <f t="shared" si="2"/>
        <v>720</v>
      </c>
      <c r="S16" s="306">
        <f t="shared" si="3"/>
        <v>720</v>
      </c>
    </row>
    <row r="17" spans="1:19" x14ac:dyDescent="0.2">
      <c r="A17" s="302" t="s">
        <v>449</v>
      </c>
      <c r="B17" s="374" t="s">
        <v>334</v>
      </c>
      <c r="C17" s="375">
        <v>-3</v>
      </c>
      <c r="D17" s="375"/>
      <c r="E17" s="374" t="s">
        <v>335</v>
      </c>
      <c r="F17" s="375"/>
      <c r="G17" s="375"/>
      <c r="H17" s="374"/>
      <c r="I17" s="376"/>
      <c r="J17" s="376"/>
      <c r="K17" s="306"/>
      <c r="L17" s="209">
        <v>10</v>
      </c>
      <c r="M17" s="377" t="s">
        <v>295</v>
      </c>
      <c r="N17" s="226">
        <v>90</v>
      </c>
      <c r="O17" s="13">
        <f>'PRECIOS INSUMOS 2015'!H33</f>
        <v>90</v>
      </c>
      <c r="P17" s="18">
        <f t="shared" si="0"/>
        <v>8100</v>
      </c>
      <c r="Q17" s="209"/>
      <c r="R17" s="308">
        <f t="shared" si="2"/>
        <v>0</v>
      </c>
      <c r="S17" s="306">
        <f t="shared" si="3"/>
        <v>8100</v>
      </c>
    </row>
    <row r="18" spans="1:19" x14ac:dyDescent="0.2">
      <c r="A18" s="302" t="s">
        <v>337</v>
      </c>
      <c r="B18" s="206" t="s">
        <v>336</v>
      </c>
      <c r="C18" s="207">
        <v>-3</v>
      </c>
      <c r="D18" s="207"/>
      <c r="E18" s="206" t="s">
        <v>266</v>
      </c>
      <c r="F18" s="207" t="s">
        <v>310</v>
      </c>
      <c r="G18" s="207">
        <v>90</v>
      </c>
      <c r="H18" s="206">
        <v>10</v>
      </c>
      <c r="I18" s="372"/>
      <c r="J18" s="372"/>
      <c r="K18" s="306"/>
      <c r="L18" s="209">
        <v>10</v>
      </c>
      <c r="M18" s="296"/>
      <c r="N18" s="209"/>
      <c r="O18" s="13"/>
      <c r="P18" s="18">
        <f t="shared" si="0"/>
        <v>0</v>
      </c>
      <c r="Q18" s="209">
        <f>G18/H18</f>
        <v>9</v>
      </c>
      <c r="R18" s="308">
        <f t="shared" si="2"/>
        <v>720</v>
      </c>
      <c r="S18" s="306">
        <f t="shared" si="3"/>
        <v>720</v>
      </c>
    </row>
    <row r="19" spans="1:19" x14ac:dyDescent="0.2">
      <c r="A19" s="302" t="s">
        <v>339</v>
      </c>
      <c r="B19" s="206" t="s">
        <v>340</v>
      </c>
      <c r="C19" s="207">
        <v>-3</v>
      </c>
      <c r="D19" s="207"/>
      <c r="E19" s="206" t="s">
        <v>266</v>
      </c>
      <c r="F19" s="207" t="s">
        <v>310</v>
      </c>
      <c r="G19" s="207">
        <v>90</v>
      </c>
      <c r="H19" s="206">
        <v>90</v>
      </c>
      <c r="I19" s="372"/>
      <c r="J19" s="372"/>
      <c r="K19" s="306"/>
      <c r="L19" s="209">
        <v>10</v>
      </c>
      <c r="M19" s="296" t="s">
        <v>438</v>
      </c>
      <c r="N19" s="209">
        <v>9</v>
      </c>
      <c r="O19" s="234">
        <f>'PRECIOS INSUMOS 2015'!H30</f>
        <v>8.9499999999999993</v>
      </c>
      <c r="P19" s="18">
        <f t="shared" si="0"/>
        <v>80.55</v>
      </c>
      <c r="Q19" s="209">
        <f>G19/H19</f>
        <v>1</v>
      </c>
      <c r="R19" s="308">
        <f t="shared" si="2"/>
        <v>80</v>
      </c>
      <c r="S19" s="306">
        <f t="shared" si="3"/>
        <v>160.55000000000001</v>
      </c>
    </row>
    <row r="20" spans="1:19" x14ac:dyDescent="0.2">
      <c r="A20" s="302" t="s">
        <v>341</v>
      </c>
      <c r="B20" s="206" t="s">
        <v>344</v>
      </c>
      <c r="C20" s="207">
        <v>-2</v>
      </c>
      <c r="D20" s="207"/>
      <c r="E20" s="206" t="s">
        <v>264</v>
      </c>
      <c r="F20" s="207" t="s">
        <v>308</v>
      </c>
      <c r="G20" s="207">
        <v>1</v>
      </c>
      <c r="H20" s="206"/>
      <c r="I20" s="372"/>
      <c r="J20" s="372"/>
      <c r="K20" s="306"/>
      <c r="L20" s="209">
        <v>10</v>
      </c>
      <c r="M20" s="296" t="s">
        <v>1365</v>
      </c>
      <c r="N20" s="209">
        <v>0.35</v>
      </c>
      <c r="O20" s="13">
        <v>18</v>
      </c>
      <c r="P20" s="18">
        <f t="shared" si="0"/>
        <v>6.3</v>
      </c>
      <c r="Q20" s="209"/>
      <c r="R20" s="308">
        <f t="shared" si="2"/>
        <v>0</v>
      </c>
      <c r="S20" s="306">
        <f t="shared" si="3"/>
        <v>6.3</v>
      </c>
    </row>
    <row r="21" spans="1:19" x14ac:dyDescent="0.2">
      <c r="A21" s="302" t="s">
        <v>343</v>
      </c>
      <c r="B21" s="36" t="s">
        <v>344</v>
      </c>
      <c r="C21" s="1">
        <v>-2</v>
      </c>
      <c r="D21" s="44"/>
      <c r="E21" s="36" t="s">
        <v>264</v>
      </c>
      <c r="F21" s="1" t="s">
        <v>308</v>
      </c>
      <c r="G21" s="1">
        <v>1</v>
      </c>
      <c r="H21" s="36">
        <v>0.62</v>
      </c>
      <c r="I21" s="378"/>
      <c r="J21" s="378"/>
      <c r="K21" s="306">
        <v>10</v>
      </c>
      <c r="L21" s="36"/>
      <c r="M21" s="88" t="s">
        <v>234</v>
      </c>
      <c r="N21" s="18">
        <f>0.86*2</f>
        <v>1.72</v>
      </c>
      <c r="O21" s="47">
        <f>'PRECIOS INSUMOS 2015'!C$5</f>
        <v>2</v>
      </c>
      <c r="P21" s="18">
        <f t="shared" si="0"/>
        <v>3.44</v>
      </c>
      <c r="Q21" s="18">
        <f>G21/H21</f>
        <v>1.6129032258064517</v>
      </c>
      <c r="R21" s="308">
        <f t="shared" si="2"/>
        <v>129.03225806451613</v>
      </c>
      <c r="S21" s="306">
        <f t="shared" si="3"/>
        <v>132.47225806451613</v>
      </c>
    </row>
    <row r="22" spans="1:19" x14ac:dyDescent="0.2">
      <c r="A22" s="302" t="s">
        <v>345</v>
      </c>
      <c r="B22" s="212" t="s">
        <v>346</v>
      </c>
      <c r="C22" s="379">
        <v>-1</v>
      </c>
      <c r="D22" s="304" t="s">
        <v>257</v>
      </c>
      <c r="E22" s="212" t="s">
        <v>305</v>
      </c>
      <c r="F22" s="379" t="s">
        <v>310</v>
      </c>
      <c r="G22" s="379">
        <v>90</v>
      </c>
      <c r="H22" s="212">
        <v>600</v>
      </c>
      <c r="I22" s="380"/>
      <c r="J22" s="380"/>
      <c r="K22" s="306">
        <v>10</v>
      </c>
      <c r="L22" s="209"/>
      <c r="M22" s="296" t="s">
        <v>234</v>
      </c>
      <c r="N22" s="209">
        <f>0.86*0.8</f>
        <v>0.68800000000000006</v>
      </c>
      <c r="O22" s="47">
        <f>'PRECIOS INSUMOS 2015'!C$5</f>
        <v>2</v>
      </c>
      <c r="P22" s="18">
        <f t="shared" si="0"/>
        <v>1.3760000000000001</v>
      </c>
      <c r="Q22" s="209">
        <f>G22/H22</f>
        <v>0.15</v>
      </c>
      <c r="R22" s="308">
        <f t="shared" si="2"/>
        <v>12</v>
      </c>
      <c r="S22" s="306">
        <f t="shared" si="3"/>
        <v>13.375999999999999</v>
      </c>
    </row>
    <row r="23" spans="1:19" x14ac:dyDescent="0.2">
      <c r="A23" s="302" t="s">
        <v>347</v>
      </c>
      <c r="B23" s="206" t="s">
        <v>342</v>
      </c>
      <c r="C23" s="207">
        <v>-1</v>
      </c>
      <c r="D23" s="304"/>
      <c r="E23" s="206" t="s">
        <v>266</v>
      </c>
      <c r="F23" s="207" t="s">
        <v>310</v>
      </c>
      <c r="G23" s="207">
        <v>90</v>
      </c>
      <c r="H23" s="206">
        <v>90</v>
      </c>
      <c r="I23" s="372"/>
      <c r="J23" s="372"/>
      <c r="K23" s="306"/>
      <c r="L23" s="209">
        <v>10</v>
      </c>
      <c r="M23" s="296"/>
      <c r="N23" s="209"/>
      <c r="O23" s="13"/>
      <c r="P23" s="18">
        <f t="shared" si="0"/>
        <v>0</v>
      </c>
      <c r="Q23" s="209">
        <f>G23/H23</f>
        <v>1</v>
      </c>
      <c r="R23" s="308">
        <f t="shared" si="2"/>
        <v>80</v>
      </c>
      <c r="S23" s="306">
        <f t="shared" si="3"/>
        <v>80</v>
      </c>
    </row>
    <row r="24" spans="1:19" x14ac:dyDescent="0.2">
      <c r="A24" s="302" t="s">
        <v>350</v>
      </c>
      <c r="B24" s="206" t="s">
        <v>348</v>
      </c>
      <c r="C24" s="207">
        <v>0</v>
      </c>
      <c r="D24" s="304" t="s">
        <v>257</v>
      </c>
      <c r="E24" s="211" t="s">
        <v>349</v>
      </c>
      <c r="F24" s="207" t="s">
        <v>308</v>
      </c>
      <c r="G24" s="207">
        <v>1</v>
      </c>
      <c r="H24" s="206">
        <v>2.8</v>
      </c>
      <c r="I24" s="372"/>
      <c r="J24" s="372"/>
      <c r="K24" s="306">
        <v>10</v>
      </c>
      <c r="L24" s="209"/>
      <c r="M24" s="296" t="s">
        <v>234</v>
      </c>
      <c r="N24" s="209">
        <v>32.4</v>
      </c>
      <c r="O24" s="47">
        <f>'PRECIOS INSUMOS 2015'!C$5</f>
        <v>2</v>
      </c>
      <c r="P24" s="209">
        <f t="shared" si="0"/>
        <v>64.8</v>
      </c>
      <c r="Q24" s="209">
        <f>G24/H24</f>
        <v>0.35714285714285715</v>
      </c>
      <c r="R24" s="308">
        <f t="shared" si="2"/>
        <v>28.571428571428573</v>
      </c>
      <c r="S24" s="306">
        <f t="shared" si="3"/>
        <v>93.371428571428567</v>
      </c>
    </row>
    <row r="25" spans="1:19" x14ac:dyDescent="0.2">
      <c r="A25" s="302" t="s">
        <v>352</v>
      </c>
      <c r="B25" s="211" t="s">
        <v>351</v>
      </c>
      <c r="C25" s="207">
        <v>0</v>
      </c>
      <c r="D25" s="304"/>
      <c r="E25" s="206" t="s">
        <v>266</v>
      </c>
      <c r="F25" s="207" t="s">
        <v>308</v>
      </c>
      <c r="G25" s="207">
        <v>1</v>
      </c>
      <c r="H25" s="206">
        <v>0.3</v>
      </c>
      <c r="I25" s="372"/>
      <c r="J25" s="372"/>
      <c r="K25" s="306"/>
      <c r="L25" s="209">
        <v>10</v>
      </c>
      <c r="M25" s="296"/>
      <c r="N25" s="209"/>
      <c r="O25" s="13"/>
      <c r="P25" s="18">
        <f t="shared" si="0"/>
        <v>0</v>
      </c>
      <c r="Q25" s="209">
        <f>G25/H25</f>
        <v>3.3333333333333335</v>
      </c>
      <c r="R25" s="308">
        <f t="shared" si="2"/>
        <v>266.66666666666669</v>
      </c>
      <c r="S25" s="306">
        <f t="shared" si="3"/>
        <v>266.66666666666669</v>
      </c>
    </row>
    <row r="26" spans="1:19" x14ac:dyDescent="0.2">
      <c r="A26" s="302" t="s">
        <v>354</v>
      </c>
      <c r="B26" s="211" t="s">
        <v>353</v>
      </c>
      <c r="C26" s="207">
        <v>1</v>
      </c>
      <c r="D26" s="304"/>
      <c r="E26" s="206" t="s">
        <v>264</v>
      </c>
      <c r="F26" s="207" t="s">
        <v>308</v>
      </c>
      <c r="G26" s="207">
        <v>1</v>
      </c>
      <c r="H26" s="206"/>
      <c r="I26" s="372"/>
      <c r="J26" s="372"/>
      <c r="K26" s="306"/>
      <c r="L26" s="209">
        <v>10</v>
      </c>
      <c r="M26" s="296" t="s">
        <v>1365</v>
      </c>
      <c r="N26" s="209">
        <v>0.35</v>
      </c>
      <c r="O26" s="13">
        <v>18</v>
      </c>
      <c r="P26" s="18">
        <f t="shared" si="0"/>
        <v>6.3</v>
      </c>
      <c r="Q26" s="209"/>
      <c r="R26" s="308">
        <f t="shared" si="2"/>
        <v>0</v>
      </c>
      <c r="S26" s="306">
        <f t="shared" si="3"/>
        <v>6.3</v>
      </c>
    </row>
    <row r="27" spans="1:19" x14ac:dyDescent="0.2">
      <c r="A27" s="302" t="s">
        <v>355</v>
      </c>
      <c r="B27" s="87" t="s">
        <v>353</v>
      </c>
      <c r="C27" s="1">
        <v>1</v>
      </c>
      <c r="D27" s="44"/>
      <c r="E27" s="36" t="s">
        <v>264</v>
      </c>
      <c r="F27" s="1" t="s">
        <v>308</v>
      </c>
      <c r="G27" s="1">
        <v>1</v>
      </c>
      <c r="H27" s="36">
        <v>0.62</v>
      </c>
      <c r="I27" s="36"/>
      <c r="J27" s="36"/>
      <c r="K27" s="306">
        <v>10</v>
      </c>
      <c r="L27" s="36"/>
      <c r="M27" s="88" t="s">
        <v>234</v>
      </c>
      <c r="N27" s="18">
        <f>0.86*2</f>
        <v>1.72</v>
      </c>
      <c r="O27" s="47">
        <f>'PRECIOS INSUMOS 2015'!C$5</f>
        <v>2</v>
      </c>
      <c r="P27" s="18">
        <f t="shared" si="0"/>
        <v>3.44</v>
      </c>
      <c r="Q27" s="18">
        <f>G27/H27</f>
        <v>1.6129032258064517</v>
      </c>
      <c r="R27" s="308">
        <f t="shared" si="2"/>
        <v>129.03225806451613</v>
      </c>
      <c r="S27" s="306">
        <f t="shared" si="3"/>
        <v>132.47225806451613</v>
      </c>
    </row>
    <row r="28" spans="1:19" x14ac:dyDescent="0.2">
      <c r="A28" s="302" t="s">
        <v>356</v>
      </c>
      <c r="B28" s="206" t="s">
        <v>274</v>
      </c>
      <c r="C28" s="207">
        <v>3</v>
      </c>
      <c r="D28" s="304"/>
      <c r="E28" s="206"/>
      <c r="F28" s="207" t="s">
        <v>292</v>
      </c>
      <c r="G28" s="207">
        <v>1</v>
      </c>
      <c r="H28" s="206">
        <v>6.5</v>
      </c>
      <c r="I28" s="206"/>
      <c r="J28" s="206"/>
      <c r="K28" s="209"/>
      <c r="L28" s="209">
        <v>10</v>
      </c>
      <c r="M28" s="296" t="s">
        <v>439</v>
      </c>
      <c r="N28" s="209">
        <v>3</v>
      </c>
      <c r="O28" s="13">
        <f>'PRECIOS INSUMOS 2015'!H17</f>
        <v>43</v>
      </c>
      <c r="P28" s="18">
        <f t="shared" si="0"/>
        <v>129</v>
      </c>
      <c r="Q28" s="209">
        <f>G28/H28</f>
        <v>0.15384615384615385</v>
      </c>
      <c r="R28" s="308">
        <f t="shared" si="2"/>
        <v>12.307692307692308</v>
      </c>
      <c r="S28" s="306">
        <f t="shared" si="3"/>
        <v>141.30769230769232</v>
      </c>
    </row>
    <row r="29" spans="1:19" x14ac:dyDescent="0.2">
      <c r="A29" s="302" t="s">
        <v>357</v>
      </c>
      <c r="B29" s="206" t="s">
        <v>263</v>
      </c>
      <c r="C29" s="207">
        <v>8</v>
      </c>
      <c r="D29" s="304"/>
      <c r="E29" s="206" t="s">
        <v>264</v>
      </c>
      <c r="F29" s="207" t="s">
        <v>308</v>
      </c>
      <c r="G29" s="207">
        <v>1</v>
      </c>
      <c r="H29" s="206"/>
      <c r="I29" s="206"/>
      <c r="J29" s="206"/>
      <c r="K29" s="209"/>
      <c r="L29" s="209">
        <v>10</v>
      </c>
      <c r="M29" s="296" t="s">
        <v>1365</v>
      </c>
      <c r="N29" s="209">
        <v>0.35</v>
      </c>
      <c r="O29" s="13">
        <v>18</v>
      </c>
      <c r="P29" s="18">
        <f t="shared" si="0"/>
        <v>6.3</v>
      </c>
      <c r="Q29" s="209"/>
      <c r="R29" s="308">
        <f t="shared" si="2"/>
        <v>0</v>
      </c>
      <c r="S29" s="306">
        <f t="shared" si="3"/>
        <v>6.3</v>
      </c>
    </row>
    <row r="30" spans="1:19" x14ac:dyDescent="0.2">
      <c r="A30" s="302" t="s">
        <v>358</v>
      </c>
      <c r="B30" s="36" t="s">
        <v>592</v>
      </c>
      <c r="C30" s="1">
        <v>8</v>
      </c>
      <c r="D30" s="44"/>
      <c r="E30" s="36" t="s">
        <v>264</v>
      </c>
      <c r="F30" s="1" t="s">
        <v>308</v>
      </c>
      <c r="G30" s="1">
        <v>1</v>
      </c>
      <c r="H30" s="36">
        <v>0.62</v>
      </c>
      <c r="I30" s="36"/>
      <c r="J30" s="36"/>
      <c r="K30" s="306">
        <v>10</v>
      </c>
      <c r="L30" s="36"/>
      <c r="M30" s="88" t="s">
        <v>234</v>
      </c>
      <c r="N30" s="18">
        <f>0.86*2</f>
        <v>1.72</v>
      </c>
      <c r="O30" s="47">
        <f>'PRECIOS INSUMOS 2015'!C$5</f>
        <v>2</v>
      </c>
      <c r="P30" s="18">
        <f t="shared" si="0"/>
        <v>3.44</v>
      </c>
      <c r="Q30" s="18">
        <f>G30/H30</f>
        <v>1.6129032258064517</v>
      </c>
      <c r="R30" s="308">
        <f t="shared" si="2"/>
        <v>129.03225806451613</v>
      </c>
      <c r="S30" s="306">
        <f t="shared" si="3"/>
        <v>132.47225806451613</v>
      </c>
    </row>
    <row r="31" spans="1:19" x14ac:dyDescent="0.2">
      <c r="A31" s="302" t="s">
        <v>359</v>
      </c>
      <c r="B31" s="206" t="s">
        <v>263</v>
      </c>
      <c r="C31" s="207">
        <v>13</v>
      </c>
      <c r="D31" s="304"/>
      <c r="E31" s="206" t="s">
        <v>264</v>
      </c>
      <c r="F31" s="207" t="s">
        <v>308</v>
      </c>
      <c r="G31" s="207">
        <v>1</v>
      </c>
      <c r="H31" s="206"/>
      <c r="I31" s="206"/>
      <c r="J31" s="206"/>
      <c r="K31" s="209"/>
      <c r="L31" s="209">
        <v>10</v>
      </c>
      <c r="M31" s="296" t="s">
        <v>1365</v>
      </c>
      <c r="N31" s="209">
        <v>0.35</v>
      </c>
      <c r="O31" s="13">
        <v>18</v>
      </c>
      <c r="P31" s="18">
        <f t="shared" si="0"/>
        <v>6.3</v>
      </c>
      <c r="Q31" s="209"/>
      <c r="R31" s="308">
        <f t="shared" si="2"/>
        <v>0</v>
      </c>
      <c r="S31" s="306">
        <f t="shared" si="3"/>
        <v>6.3</v>
      </c>
    </row>
    <row r="32" spans="1:19" x14ac:dyDescent="0.2">
      <c r="A32" s="302" t="s">
        <v>361</v>
      </c>
      <c r="B32" s="36" t="s">
        <v>592</v>
      </c>
      <c r="C32" s="1">
        <v>13</v>
      </c>
      <c r="D32" s="44"/>
      <c r="E32" s="36" t="s">
        <v>264</v>
      </c>
      <c r="F32" s="1" t="s">
        <v>308</v>
      </c>
      <c r="G32" s="1">
        <v>1</v>
      </c>
      <c r="H32" s="36">
        <v>0.62</v>
      </c>
      <c r="I32" s="36"/>
      <c r="J32" s="36"/>
      <c r="K32" s="306">
        <v>10</v>
      </c>
      <c r="L32" s="36"/>
      <c r="M32" s="88" t="s">
        <v>234</v>
      </c>
      <c r="N32" s="18">
        <f>0.86*2</f>
        <v>1.72</v>
      </c>
      <c r="O32" s="47">
        <f>'PRECIOS INSUMOS 2015'!C$5</f>
        <v>2</v>
      </c>
      <c r="P32" s="18">
        <f t="shared" si="0"/>
        <v>3.44</v>
      </c>
      <c r="Q32" s="18">
        <f>G32/H32</f>
        <v>1.6129032258064517</v>
      </c>
      <c r="R32" s="308">
        <f t="shared" si="2"/>
        <v>129.03225806451613</v>
      </c>
      <c r="S32" s="306">
        <f t="shared" si="3"/>
        <v>132.47225806451613</v>
      </c>
    </row>
    <row r="33" spans="1:19" x14ac:dyDescent="0.2">
      <c r="A33" s="302" t="s">
        <v>362</v>
      </c>
      <c r="B33" s="206" t="s">
        <v>263</v>
      </c>
      <c r="C33" s="207">
        <v>18</v>
      </c>
      <c r="D33" s="304"/>
      <c r="E33" s="206" t="s">
        <v>264</v>
      </c>
      <c r="F33" s="207" t="s">
        <v>308</v>
      </c>
      <c r="G33" s="207">
        <v>1</v>
      </c>
      <c r="H33" s="206"/>
      <c r="I33" s="206"/>
      <c r="J33" s="206"/>
      <c r="K33" s="209"/>
      <c r="L33" s="209">
        <v>10</v>
      </c>
      <c r="M33" s="296" t="s">
        <v>1365</v>
      </c>
      <c r="N33" s="209">
        <v>0.35</v>
      </c>
      <c r="O33" s="13">
        <v>18</v>
      </c>
      <c r="P33" s="18">
        <f t="shared" si="0"/>
        <v>6.3</v>
      </c>
      <c r="Q33" s="209"/>
      <c r="R33" s="308">
        <f t="shared" si="2"/>
        <v>0</v>
      </c>
      <c r="S33" s="306">
        <f t="shared" si="3"/>
        <v>6.3</v>
      </c>
    </row>
    <row r="34" spans="1:19" x14ac:dyDescent="0.2">
      <c r="A34" s="302" t="s">
        <v>364</v>
      </c>
      <c r="B34" s="36" t="s">
        <v>592</v>
      </c>
      <c r="C34" s="1">
        <v>18</v>
      </c>
      <c r="D34" s="1"/>
      <c r="E34" s="36" t="s">
        <v>264</v>
      </c>
      <c r="F34" s="1" t="s">
        <v>308</v>
      </c>
      <c r="G34" s="1">
        <v>1</v>
      </c>
      <c r="H34" s="36">
        <v>0.62</v>
      </c>
      <c r="I34" s="36"/>
      <c r="J34" s="36"/>
      <c r="K34" s="306">
        <v>10</v>
      </c>
      <c r="L34" s="36"/>
      <c r="M34" s="88" t="s">
        <v>234</v>
      </c>
      <c r="N34" s="18">
        <f>0.86*2</f>
        <v>1.72</v>
      </c>
      <c r="O34" s="47">
        <f>'PRECIOS INSUMOS 2015'!C$5</f>
        <v>2</v>
      </c>
      <c r="P34" s="18">
        <f t="shared" si="0"/>
        <v>3.44</v>
      </c>
      <c r="Q34" s="18">
        <f>G34/H34</f>
        <v>1.6129032258064517</v>
      </c>
      <c r="R34" s="308">
        <f t="shared" si="2"/>
        <v>129.03225806451613</v>
      </c>
      <c r="S34" s="306">
        <f t="shared" si="3"/>
        <v>132.47225806451613</v>
      </c>
    </row>
    <row r="35" spans="1:19" x14ac:dyDescent="0.2">
      <c r="A35" s="302" t="s">
        <v>366</v>
      </c>
      <c r="B35" s="206" t="s">
        <v>263</v>
      </c>
      <c r="C35" s="207">
        <v>24</v>
      </c>
      <c r="D35" s="304"/>
      <c r="E35" s="206" t="s">
        <v>264</v>
      </c>
      <c r="F35" s="207" t="s">
        <v>308</v>
      </c>
      <c r="G35" s="207">
        <v>1</v>
      </c>
      <c r="H35" s="206"/>
      <c r="I35" s="206"/>
      <c r="J35" s="206"/>
      <c r="K35" s="209"/>
      <c r="L35" s="209">
        <v>10</v>
      </c>
      <c r="M35" s="296" t="s">
        <v>1365</v>
      </c>
      <c r="N35" s="209">
        <v>0.35</v>
      </c>
      <c r="O35" s="13">
        <v>18</v>
      </c>
      <c r="P35" s="18">
        <f t="shared" si="0"/>
        <v>6.3</v>
      </c>
      <c r="Q35" s="209"/>
      <c r="R35" s="308">
        <f t="shared" si="2"/>
        <v>0</v>
      </c>
      <c r="S35" s="306">
        <f t="shared" si="3"/>
        <v>6.3</v>
      </c>
    </row>
    <row r="36" spans="1:19" x14ac:dyDescent="0.2">
      <c r="A36" s="302" t="s">
        <v>368</v>
      </c>
      <c r="B36" s="36" t="s">
        <v>592</v>
      </c>
      <c r="C36" s="1">
        <v>24</v>
      </c>
      <c r="D36" s="44"/>
      <c r="E36" s="36" t="s">
        <v>264</v>
      </c>
      <c r="F36" s="1" t="s">
        <v>308</v>
      </c>
      <c r="G36" s="1">
        <v>1</v>
      </c>
      <c r="H36" s="36">
        <v>0.62</v>
      </c>
      <c r="I36" s="36"/>
      <c r="J36" s="36"/>
      <c r="K36" s="306">
        <v>10</v>
      </c>
      <c r="L36" s="36"/>
      <c r="M36" s="88" t="s">
        <v>234</v>
      </c>
      <c r="N36" s="18">
        <f>0.86*2</f>
        <v>1.72</v>
      </c>
      <c r="O36" s="47">
        <f>'PRECIOS INSUMOS 2015'!C$5</f>
        <v>2</v>
      </c>
      <c r="P36" s="18">
        <f t="shared" si="0"/>
        <v>3.44</v>
      </c>
      <c r="Q36" s="18">
        <f>G36/H36</f>
        <v>1.6129032258064517</v>
      </c>
      <c r="R36" s="308">
        <f t="shared" si="2"/>
        <v>129.03225806451613</v>
      </c>
      <c r="S36" s="306">
        <f t="shared" si="3"/>
        <v>132.47225806451613</v>
      </c>
    </row>
    <row r="37" spans="1:19" x14ac:dyDescent="0.2">
      <c r="A37" s="302" t="s">
        <v>369</v>
      </c>
      <c r="B37" s="206" t="s">
        <v>269</v>
      </c>
      <c r="C37" s="207">
        <v>27</v>
      </c>
      <c r="D37" s="304" t="s">
        <v>257</v>
      </c>
      <c r="E37" s="206" t="s">
        <v>360</v>
      </c>
      <c r="F37" s="207" t="s">
        <v>308</v>
      </c>
      <c r="G37" s="207">
        <v>1</v>
      </c>
      <c r="H37" s="206">
        <v>2.8</v>
      </c>
      <c r="I37" s="206"/>
      <c r="J37" s="206"/>
      <c r="K37" s="306">
        <v>10</v>
      </c>
      <c r="L37" s="209"/>
      <c r="M37" s="296" t="s">
        <v>234</v>
      </c>
      <c r="N37" s="209">
        <v>7.3</v>
      </c>
      <c r="O37" s="47">
        <f>'PRECIOS INSUMOS 2015'!C$5</f>
        <v>2</v>
      </c>
      <c r="P37" s="18">
        <f t="shared" si="0"/>
        <v>14.6</v>
      </c>
      <c r="Q37" s="209">
        <f>G37/H37</f>
        <v>0.35714285714285715</v>
      </c>
      <c r="R37" s="308">
        <f t="shared" si="2"/>
        <v>28.571428571428573</v>
      </c>
      <c r="S37" s="306">
        <f t="shared" si="3"/>
        <v>43.171428571428571</v>
      </c>
    </row>
    <row r="38" spans="1:19" x14ac:dyDescent="0.2">
      <c r="A38" s="302" t="s">
        <v>370</v>
      </c>
      <c r="B38" s="206" t="s">
        <v>263</v>
      </c>
      <c r="C38" s="207">
        <v>29</v>
      </c>
      <c r="D38" s="304"/>
      <c r="E38" s="206" t="s">
        <v>264</v>
      </c>
      <c r="F38" s="207" t="s">
        <v>308</v>
      </c>
      <c r="G38" s="207">
        <v>1</v>
      </c>
      <c r="H38" s="206"/>
      <c r="I38" s="206"/>
      <c r="J38" s="206"/>
      <c r="K38" s="209"/>
      <c r="L38" s="209">
        <v>10</v>
      </c>
      <c r="M38" s="296" t="s">
        <v>1365</v>
      </c>
      <c r="N38" s="209">
        <v>0.35</v>
      </c>
      <c r="O38" s="13">
        <v>18</v>
      </c>
      <c r="P38" s="18">
        <f t="shared" si="0"/>
        <v>6.3</v>
      </c>
      <c r="Q38" s="209"/>
      <c r="R38" s="308">
        <f t="shared" si="2"/>
        <v>0</v>
      </c>
      <c r="S38" s="306">
        <f t="shared" si="3"/>
        <v>6.3</v>
      </c>
    </row>
    <row r="39" spans="1:19" x14ac:dyDescent="0.2">
      <c r="A39" s="302" t="s">
        <v>371</v>
      </c>
      <c r="B39" s="36" t="s">
        <v>592</v>
      </c>
      <c r="C39" s="1">
        <v>29</v>
      </c>
      <c r="D39" s="44"/>
      <c r="E39" s="36" t="s">
        <v>264</v>
      </c>
      <c r="F39" s="1" t="s">
        <v>308</v>
      </c>
      <c r="G39" s="1">
        <v>1</v>
      </c>
      <c r="H39" s="36">
        <v>0.62</v>
      </c>
      <c r="I39" s="36"/>
      <c r="J39" s="36"/>
      <c r="K39" s="306">
        <v>10</v>
      </c>
      <c r="L39" s="36"/>
      <c r="M39" s="88" t="s">
        <v>234</v>
      </c>
      <c r="N39" s="18">
        <f>0.86*2</f>
        <v>1.72</v>
      </c>
      <c r="O39" s="47">
        <f>'PRECIOS INSUMOS 2015'!C$5</f>
        <v>2</v>
      </c>
      <c r="P39" s="18">
        <f t="shared" si="0"/>
        <v>3.44</v>
      </c>
      <c r="Q39" s="18">
        <f>G39/H39</f>
        <v>1.6129032258064517</v>
      </c>
      <c r="R39" s="308">
        <f t="shared" si="2"/>
        <v>129.03225806451613</v>
      </c>
      <c r="S39" s="306">
        <f t="shared" si="3"/>
        <v>132.47225806451613</v>
      </c>
    </row>
    <row r="40" spans="1:19" x14ac:dyDescent="0.2">
      <c r="A40" s="302" t="s">
        <v>372</v>
      </c>
      <c r="B40" s="206" t="s">
        <v>363</v>
      </c>
      <c r="C40" s="207">
        <v>32</v>
      </c>
      <c r="D40" s="207"/>
      <c r="E40" s="206" t="s">
        <v>266</v>
      </c>
      <c r="F40" s="207" t="s">
        <v>308</v>
      </c>
      <c r="G40" s="207">
        <v>1</v>
      </c>
      <c r="H40" s="206">
        <v>0.16</v>
      </c>
      <c r="I40" s="206"/>
      <c r="J40" s="206"/>
      <c r="K40" s="209"/>
      <c r="L40" s="209">
        <v>10</v>
      </c>
      <c r="M40" s="296"/>
      <c r="N40" s="209"/>
      <c r="O40" s="13"/>
      <c r="P40" s="18">
        <f t="shared" si="0"/>
        <v>0</v>
      </c>
      <c r="Q40" s="209">
        <f>G40/H40</f>
        <v>6.25</v>
      </c>
      <c r="R40" s="308">
        <f t="shared" si="2"/>
        <v>500</v>
      </c>
      <c r="S40" s="306">
        <f t="shared" si="3"/>
        <v>500</v>
      </c>
    </row>
    <row r="41" spans="1:19" x14ac:dyDescent="0.2">
      <c r="A41" s="302" t="s">
        <v>373</v>
      </c>
      <c r="B41" s="206" t="s">
        <v>365</v>
      </c>
      <c r="C41" s="207">
        <v>36</v>
      </c>
      <c r="D41" s="304"/>
      <c r="E41" s="206" t="s">
        <v>264</v>
      </c>
      <c r="F41" s="207" t="s">
        <v>308</v>
      </c>
      <c r="G41" s="207">
        <v>1</v>
      </c>
      <c r="H41" s="206"/>
      <c r="I41" s="206"/>
      <c r="J41" s="206"/>
      <c r="K41" s="209"/>
      <c r="L41" s="209">
        <v>10</v>
      </c>
      <c r="M41" s="296" t="s">
        <v>1365</v>
      </c>
      <c r="N41" s="209">
        <v>0.35</v>
      </c>
      <c r="O41" s="13">
        <v>18</v>
      </c>
      <c r="P41" s="18">
        <f t="shared" ref="P41:P72" si="4">O41*N41</f>
        <v>6.3</v>
      </c>
      <c r="Q41" s="209"/>
      <c r="R41" s="308">
        <f t="shared" si="2"/>
        <v>0</v>
      </c>
      <c r="S41" s="306">
        <f t="shared" si="3"/>
        <v>6.3</v>
      </c>
    </row>
    <row r="42" spans="1:19" x14ac:dyDescent="0.2">
      <c r="A42" s="302" t="s">
        <v>374</v>
      </c>
      <c r="B42" s="36" t="s">
        <v>592</v>
      </c>
      <c r="C42" s="1">
        <v>36</v>
      </c>
      <c r="D42" s="44"/>
      <c r="E42" s="36" t="s">
        <v>264</v>
      </c>
      <c r="F42" s="1" t="s">
        <v>308</v>
      </c>
      <c r="G42" s="1">
        <v>1</v>
      </c>
      <c r="H42" s="36">
        <v>0.62</v>
      </c>
      <c r="I42" s="36"/>
      <c r="J42" s="36"/>
      <c r="K42" s="306">
        <v>10</v>
      </c>
      <c r="L42" s="36"/>
      <c r="M42" s="88" t="s">
        <v>234</v>
      </c>
      <c r="N42" s="18">
        <f>0.86*2</f>
        <v>1.72</v>
      </c>
      <c r="O42" s="47">
        <f>'PRECIOS INSUMOS 2015'!C$5</f>
        <v>2</v>
      </c>
      <c r="P42" s="18">
        <f t="shared" si="4"/>
        <v>3.44</v>
      </c>
      <c r="Q42" s="18">
        <f>G42/H42</f>
        <v>1.6129032258064517</v>
      </c>
      <c r="R42" s="308">
        <f t="shared" si="2"/>
        <v>129.03225806451613</v>
      </c>
      <c r="S42" s="306">
        <f t="shared" si="3"/>
        <v>132.47225806451613</v>
      </c>
    </row>
    <row r="43" spans="1:19" ht="13.5" thickBot="1" x14ac:dyDescent="0.25">
      <c r="A43" s="242" t="s">
        <v>376</v>
      </c>
      <c r="B43" s="381" t="s">
        <v>367</v>
      </c>
      <c r="C43" s="244">
        <v>38</v>
      </c>
      <c r="D43" s="244" t="s">
        <v>257</v>
      </c>
      <c r="E43" s="381" t="s">
        <v>360</v>
      </c>
      <c r="F43" s="244" t="s">
        <v>308</v>
      </c>
      <c r="G43" s="244">
        <v>1</v>
      </c>
      <c r="H43" s="381">
        <v>2.8</v>
      </c>
      <c r="I43" s="381"/>
      <c r="J43" s="381"/>
      <c r="K43" s="306">
        <v>10</v>
      </c>
      <c r="L43" s="247"/>
      <c r="M43" s="382" t="s">
        <v>234</v>
      </c>
      <c r="N43" s="247">
        <v>7.3</v>
      </c>
      <c r="O43" s="47">
        <f>'PRECIOS INSUMOS 2015'!C$5</f>
        <v>2</v>
      </c>
      <c r="P43" s="59">
        <f t="shared" si="4"/>
        <v>14.6</v>
      </c>
      <c r="Q43" s="247">
        <f>G43/H43</f>
        <v>0.35714285714285715</v>
      </c>
      <c r="R43" s="257">
        <f t="shared" si="2"/>
        <v>28.571428571428573</v>
      </c>
      <c r="S43" s="306">
        <f t="shared" si="3"/>
        <v>43.171428571428571</v>
      </c>
    </row>
    <row r="44" spans="1:19" x14ac:dyDescent="0.2">
      <c r="A44" s="302" t="s">
        <v>377</v>
      </c>
      <c r="B44" s="206" t="s">
        <v>365</v>
      </c>
      <c r="C44" s="207">
        <v>41</v>
      </c>
      <c r="D44" s="304"/>
      <c r="E44" s="206" t="s">
        <v>264</v>
      </c>
      <c r="F44" s="207" t="s">
        <v>308</v>
      </c>
      <c r="G44" s="207">
        <v>1</v>
      </c>
      <c r="H44" s="206"/>
      <c r="I44" s="206"/>
      <c r="J44" s="206"/>
      <c r="K44" s="209"/>
      <c r="L44" s="209">
        <v>10</v>
      </c>
      <c r="M44" s="296" t="s">
        <v>1365</v>
      </c>
      <c r="N44" s="209">
        <v>0.35</v>
      </c>
      <c r="O44" s="13">
        <v>18</v>
      </c>
      <c r="P44" s="18">
        <f t="shared" si="4"/>
        <v>6.3</v>
      </c>
      <c r="Q44" s="209"/>
      <c r="R44" s="308">
        <f t="shared" si="2"/>
        <v>0</v>
      </c>
      <c r="S44" s="306">
        <f t="shared" si="3"/>
        <v>6.3</v>
      </c>
    </row>
    <row r="45" spans="1:19" ht="13.5" thickBot="1" x14ac:dyDescent="0.25">
      <c r="A45" s="302" t="s">
        <v>378</v>
      </c>
      <c r="B45" s="36" t="s">
        <v>592</v>
      </c>
      <c r="C45" s="58">
        <v>41</v>
      </c>
      <c r="D45" s="58"/>
      <c r="E45" s="383" t="s">
        <v>264</v>
      </c>
      <c r="F45" s="58" t="s">
        <v>308</v>
      </c>
      <c r="G45" s="58">
        <v>1</v>
      </c>
      <c r="H45" s="383">
        <v>0.62</v>
      </c>
      <c r="I45" s="383"/>
      <c r="J45" s="383"/>
      <c r="K45" s="306">
        <v>10</v>
      </c>
      <c r="L45" s="383"/>
      <c r="M45" s="384" t="s">
        <v>234</v>
      </c>
      <c r="N45" s="59">
        <f>0.86*2</f>
        <v>1.72</v>
      </c>
      <c r="O45" s="47">
        <f>'PRECIOS INSUMOS 2015'!C$5</f>
        <v>2</v>
      </c>
      <c r="P45" s="59">
        <f t="shared" si="4"/>
        <v>3.44</v>
      </c>
      <c r="Q45" s="59">
        <f>G45/H45</f>
        <v>1.6129032258064517</v>
      </c>
      <c r="R45" s="308">
        <f t="shared" si="2"/>
        <v>129.03225806451613</v>
      </c>
      <c r="S45" s="306">
        <f t="shared" si="3"/>
        <v>132.47225806451613</v>
      </c>
    </row>
    <row r="46" spans="1:19" x14ac:dyDescent="0.2">
      <c r="A46" s="302" t="s">
        <v>379</v>
      </c>
      <c r="B46" s="206" t="s">
        <v>263</v>
      </c>
      <c r="C46" s="207">
        <v>48</v>
      </c>
      <c r="D46" s="207"/>
      <c r="E46" s="206" t="s">
        <v>264</v>
      </c>
      <c r="F46" s="207" t="s">
        <v>308</v>
      </c>
      <c r="G46" s="207">
        <v>1</v>
      </c>
      <c r="H46" s="206"/>
      <c r="I46" s="206"/>
      <c r="J46" s="206"/>
      <c r="K46" s="209"/>
      <c r="L46" s="209">
        <v>10</v>
      </c>
      <c r="M46" s="296" t="s">
        <v>1365</v>
      </c>
      <c r="N46" s="209">
        <v>0.35</v>
      </c>
      <c r="O46" s="13">
        <v>18</v>
      </c>
      <c r="P46" s="18">
        <f t="shared" si="4"/>
        <v>6.3</v>
      </c>
      <c r="Q46" s="209"/>
      <c r="R46" s="308">
        <f t="shared" si="2"/>
        <v>0</v>
      </c>
      <c r="S46" s="306">
        <f t="shared" si="3"/>
        <v>6.3</v>
      </c>
    </row>
    <row r="47" spans="1:19" x14ac:dyDescent="0.2">
      <c r="A47" s="302" t="s">
        <v>380</v>
      </c>
      <c r="B47" s="36" t="s">
        <v>592</v>
      </c>
      <c r="C47" s="1">
        <v>48</v>
      </c>
      <c r="D47" s="44"/>
      <c r="E47" s="36" t="s">
        <v>264</v>
      </c>
      <c r="F47" s="1" t="s">
        <v>308</v>
      </c>
      <c r="G47" s="1">
        <v>1</v>
      </c>
      <c r="H47" s="36">
        <v>0.62</v>
      </c>
      <c r="I47" s="36"/>
      <c r="J47" s="36"/>
      <c r="K47" s="306">
        <v>10</v>
      </c>
      <c r="L47" s="36"/>
      <c r="M47" s="88" t="s">
        <v>234</v>
      </c>
      <c r="N47" s="18">
        <f>0.86*2</f>
        <v>1.72</v>
      </c>
      <c r="O47" s="47">
        <f>'PRECIOS INSUMOS 2015'!C$5</f>
        <v>2</v>
      </c>
      <c r="P47" s="18">
        <f t="shared" si="4"/>
        <v>3.44</v>
      </c>
      <c r="Q47" s="18">
        <f>G47/H47</f>
        <v>1.6129032258064517</v>
      </c>
      <c r="R47" s="308">
        <f t="shared" si="2"/>
        <v>129.03225806451613</v>
      </c>
      <c r="S47" s="306">
        <f t="shared" si="3"/>
        <v>132.47225806451613</v>
      </c>
    </row>
    <row r="48" spans="1:19" x14ac:dyDescent="0.2">
      <c r="A48" s="302" t="s">
        <v>381</v>
      </c>
      <c r="B48" s="206" t="s">
        <v>269</v>
      </c>
      <c r="C48" s="207">
        <v>51</v>
      </c>
      <c r="D48" s="304" t="s">
        <v>257</v>
      </c>
      <c r="E48" s="206" t="s">
        <v>360</v>
      </c>
      <c r="F48" s="207" t="s">
        <v>308</v>
      </c>
      <c r="G48" s="207">
        <v>1</v>
      </c>
      <c r="H48" s="206">
        <v>2.8</v>
      </c>
      <c r="I48" s="206"/>
      <c r="J48" s="206"/>
      <c r="K48" s="306">
        <v>10</v>
      </c>
      <c r="L48" s="209"/>
      <c r="M48" s="296" t="s">
        <v>234</v>
      </c>
      <c r="N48" s="209">
        <v>7.3</v>
      </c>
      <c r="O48" s="47">
        <f>'PRECIOS INSUMOS 2015'!C$5</f>
        <v>2</v>
      </c>
      <c r="P48" s="18">
        <f t="shared" si="4"/>
        <v>14.6</v>
      </c>
      <c r="Q48" s="209">
        <f>G48/H48</f>
        <v>0.35714285714285715</v>
      </c>
      <c r="R48" s="308">
        <f t="shared" si="2"/>
        <v>28.571428571428573</v>
      </c>
      <c r="S48" s="306">
        <f t="shared" si="3"/>
        <v>43.171428571428571</v>
      </c>
    </row>
    <row r="49" spans="1:21" x14ac:dyDescent="0.2">
      <c r="A49" s="302" t="s">
        <v>382</v>
      </c>
      <c r="B49" s="206" t="s">
        <v>363</v>
      </c>
      <c r="C49" s="207">
        <v>53</v>
      </c>
      <c r="D49" s="304"/>
      <c r="E49" s="206" t="s">
        <v>266</v>
      </c>
      <c r="F49" s="207" t="s">
        <v>308</v>
      </c>
      <c r="G49" s="207">
        <v>1</v>
      </c>
      <c r="H49" s="206">
        <v>0.16</v>
      </c>
      <c r="I49" s="206"/>
      <c r="J49" s="206"/>
      <c r="K49" s="209"/>
      <c r="L49" s="209">
        <v>10</v>
      </c>
      <c r="M49" s="296"/>
      <c r="N49" s="209"/>
      <c r="O49" s="13"/>
      <c r="P49" s="18">
        <f t="shared" si="4"/>
        <v>0</v>
      </c>
      <c r="Q49" s="209">
        <f>G49/H49</f>
        <v>6.25</v>
      </c>
      <c r="R49" s="308">
        <f t="shared" si="2"/>
        <v>500</v>
      </c>
      <c r="S49" s="306">
        <f t="shared" si="3"/>
        <v>500</v>
      </c>
    </row>
    <row r="50" spans="1:21" x14ac:dyDescent="0.2">
      <c r="A50" s="302" t="s">
        <v>383</v>
      </c>
      <c r="B50" s="206" t="s">
        <v>263</v>
      </c>
      <c r="C50" s="207">
        <v>55</v>
      </c>
      <c r="D50" s="304"/>
      <c r="E50" s="206" t="s">
        <v>264</v>
      </c>
      <c r="F50" s="207" t="s">
        <v>308</v>
      </c>
      <c r="G50" s="207">
        <v>1</v>
      </c>
      <c r="H50" s="206"/>
      <c r="I50" s="206"/>
      <c r="J50" s="206"/>
      <c r="K50" s="209"/>
      <c r="L50" s="209">
        <v>10</v>
      </c>
      <c r="M50" s="296" t="s">
        <v>1365</v>
      </c>
      <c r="N50" s="209">
        <v>0.35</v>
      </c>
      <c r="O50" s="13">
        <v>18</v>
      </c>
      <c r="P50" s="18">
        <f t="shared" si="4"/>
        <v>6.3</v>
      </c>
      <c r="Q50" s="209"/>
      <c r="R50" s="308">
        <f t="shared" si="2"/>
        <v>0</v>
      </c>
      <c r="S50" s="306">
        <f t="shared" si="3"/>
        <v>6.3</v>
      </c>
    </row>
    <row r="51" spans="1:21" x14ac:dyDescent="0.2">
      <c r="A51" s="302" t="s">
        <v>384</v>
      </c>
      <c r="B51" s="36" t="s">
        <v>592</v>
      </c>
      <c r="C51" s="1">
        <v>55</v>
      </c>
      <c r="D51" s="44"/>
      <c r="E51" s="36" t="s">
        <v>264</v>
      </c>
      <c r="F51" s="1" t="s">
        <v>308</v>
      </c>
      <c r="G51" s="1">
        <v>1</v>
      </c>
      <c r="H51" s="36">
        <v>0.62</v>
      </c>
      <c r="I51" s="36"/>
      <c r="J51" s="36"/>
      <c r="K51" s="306">
        <v>10</v>
      </c>
      <c r="L51" s="36"/>
      <c r="M51" s="88" t="s">
        <v>234</v>
      </c>
      <c r="N51" s="18">
        <f>0.86*2</f>
        <v>1.72</v>
      </c>
      <c r="O51" s="47">
        <f>'PRECIOS INSUMOS 2015'!C$5</f>
        <v>2</v>
      </c>
      <c r="P51" s="18">
        <f t="shared" si="4"/>
        <v>3.44</v>
      </c>
      <c r="Q51" s="18">
        <f>G51/H51</f>
        <v>1.6129032258064517</v>
      </c>
      <c r="R51" s="308">
        <f t="shared" si="2"/>
        <v>129.03225806451613</v>
      </c>
      <c r="S51" s="306">
        <f t="shared" si="3"/>
        <v>132.47225806451613</v>
      </c>
    </row>
    <row r="52" spans="1:21" x14ac:dyDescent="0.2">
      <c r="A52" s="302" t="s">
        <v>386</v>
      </c>
      <c r="B52" s="206" t="s">
        <v>331</v>
      </c>
      <c r="C52" s="207">
        <v>57</v>
      </c>
      <c r="D52" s="304" t="s">
        <v>257</v>
      </c>
      <c r="E52" s="212" t="s">
        <v>305</v>
      </c>
      <c r="F52" s="207" t="s">
        <v>436</v>
      </c>
      <c r="G52" s="207">
        <v>0.4</v>
      </c>
      <c r="H52" s="206">
        <v>1.49</v>
      </c>
      <c r="I52" s="206"/>
      <c r="J52" s="206"/>
      <c r="K52" s="306">
        <v>10</v>
      </c>
      <c r="L52" s="209"/>
      <c r="M52" s="296" t="s">
        <v>234</v>
      </c>
      <c r="N52" s="209">
        <f>0.86*0.8</f>
        <v>0.68800000000000006</v>
      </c>
      <c r="O52" s="47">
        <f>'PRECIOS INSUMOS 2015'!C$5</f>
        <v>2</v>
      </c>
      <c r="P52" s="18">
        <f t="shared" si="4"/>
        <v>1.3760000000000001</v>
      </c>
      <c r="Q52" s="209">
        <f>G52/H52</f>
        <v>0.26845637583892618</v>
      </c>
      <c r="R52" s="308">
        <f t="shared" si="2"/>
        <v>21.476510067114095</v>
      </c>
      <c r="S52" s="306">
        <f t="shared" si="3"/>
        <v>22.852510067114096</v>
      </c>
    </row>
    <row r="53" spans="1:21" x14ac:dyDescent="0.2">
      <c r="A53" s="302" t="s">
        <v>387</v>
      </c>
      <c r="B53" s="211" t="s">
        <v>375</v>
      </c>
      <c r="C53" s="207">
        <v>57</v>
      </c>
      <c r="D53" s="304" t="s">
        <v>266</v>
      </c>
      <c r="E53" s="206" t="s">
        <v>266</v>
      </c>
      <c r="F53" s="207" t="s">
        <v>308</v>
      </c>
      <c r="G53" s="207">
        <v>0.4</v>
      </c>
      <c r="H53" s="206">
        <v>0.17</v>
      </c>
      <c r="I53" s="206"/>
      <c r="J53" s="206"/>
      <c r="K53" s="209"/>
      <c r="L53" s="209">
        <v>10</v>
      </c>
      <c r="M53" s="373" t="s">
        <v>633</v>
      </c>
      <c r="N53" s="209">
        <v>0.4</v>
      </c>
      <c r="O53" s="47">
        <f>'PRECIOS INSUMOS 2015'!E$158</f>
        <v>2000</v>
      </c>
      <c r="P53" s="18">
        <f t="shared" si="4"/>
        <v>800</v>
      </c>
      <c r="Q53" s="209">
        <f>G53/H53</f>
        <v>2.3529411764705883</v>
      </c>
      <c r="R53" s="308">
        <f t="shared" si="2"/>
        <v>188.23529411764707</v>
      </c>
      <c r="S53" s="306">
        <f t="shared" si="3"/>
        <v>988.23529411764707</v>
      </c>
    </row>
    <row r="54" spans="1:21" x14ac:dyDescent="0.2">
      <c r="A54" s="302" t="s">
        <v>389</v>
      </c>
      <c r="B54" s="385" t="s">
        <v>306</v>
      </c>
      <c r="C54" s="375">
        <v>58</v>
      </c>
      <c r="D54" s="304" t="s">
        <v>257</v>
      </c>
      <c r="E54" s="206" t="s">
        <v>360</v>
      </c>
      <c r="F54" s="375" t="s">
        <v>308</v>
      </c>
      <c r="G54" s="375">
        <v>1</v>
      </c>
      <c r="H54" s="374">
        <v>2.8</v>
      </c>
      <c r="I54" s="374"/>
      <c r="J54" s="374"/>
      <c r="K54" s="306">
        <v>10</v>
      </c>
      <c r="L54" s="209"/>
      <c r="M54" s="296" t="s">
        <v>234</v>
      </c>
      <c r="N54" s="226">
        <f>136.88/13.42</f>
        <v>10.199701937406855</v>
      </c>
      <c r="O54" s="47">
        <f>'PRECIOS INSUMOS 2015'!C$5</f>
        <v>2</v>
      </c>
      <c r="P54" s="18">
        <f t="shared" si="4"/>
        <v>20.399403874813711</v>
      </c>
      <c r="Q54" s="209">
        <f>G54/H54</f>
        <v>0.35714285714285715</v>
      </c>
      <c r="R54" s="308">
        <f t="shared" si="2"/>
        <v>28.571428571428573</v>
      </c>
      <c r="S54" s="306">
        <f t="shared" si="3"/>
        <v>48.970832446242284</v>
      </c>
    </row>
    <row r="55" spans="1:21" x14ac:dyDescent="0.2">
      <c r="A55" s="302" t="s">
        <v>391</v>
      </c>
      <c r="B55" s="206" t="s">
        <v>263</v>
      </c>
      <c r="C55" s="207">
        <v>59</v>
      </c>
      <c r="D55" s="304"/>
      <c r="E55" s="206" t="s">
        <v>264</v>
      </c>
      <c r="F55" s="207" t="s">
        <v>308</v>
      </c>
      <c r="G55" s="207">
        <v>1</v>
      </c>
      <c r="H55" s="206"/>
      <c r="I55" s="206"/>
      <c r="J55" s="206"/>
      <c r="K55" s="209"/>
      <c r="L55" s="209">
        <v>10</v>
      </c>
      <c r="M55" s="296" t="s">
        <v>1365</v>
      </c>
      <c r="N55" s="209">
        <v>0.35</v>
      </c>
      <c r="O55" s="13">
        <v>18</v>
      </c>
      <c r="P55" s="18">
        <f t="shared" si="4"/>
        <v>6.3</v>
      </c>
      <c r="Q55" s="209"/>
      <c r="R55" s="308">
        <f t="shared" si="2"/>
        <v>0</v>
      </c>
      <c r="S55" s="306">
        <f t="shared" si="3"/>
        <v>6.3</v>
      </c>
    </row>
    <row r="56" spans="1:21" x14ac:dyDescent="0.2">
      <c r="A56" s="302" t="s">
        <v>392</v>
      </c>
      <c r="B56" s="36" t="s">
        <v>592</v>
      </c>
      <c r="C56" s="1">
        <v>59</v>
      </c>
      <c r="D56" s="44"/>
      <c r="E56" s="36" t="s">
        <v>264</v>
      </c>
      <c r="F56" s="1" t="s">
        <v>308</v>
      </c>
      <c r="G56" s="1">
        <v>1</v>
      </c>
      <c r="H56" s="36">
        <v>0.62</v>
      </c>
      <c r="I56" s="36"/>
      <c r="J56" s="36"/>
      <c r="K56" s="306">
        <v>10</v>
      </c>
      <c r="L56" s="36"/>
      <c r="M56" s="88" t="s">
        <v>234</v>
      </c>
      <c r="N56" s="18">
        <f>0.86*2</f>
        <v>1.72</v>
      </c>
      <c r="O56" s="47">
        <f>'PRECIOS INSUMOS 2015'!C$5</f>
        <v>2</v>
      </c>
      <c r="P56" s="18">
        <f t="shared" si="4"/>
        <v>3.44</v>
      </c>
      <c r="Q56" s="18">
        <f>G56/H56</f>
        <v>1.6129032258064517</v>
      </c>
      <c r="R56" s="308">
        <f t="shared" si="2"/>
        <v>129.03225806451613</v>
      </c>
      <c r="S56" s="306">
        <f t="shared" si="3"/>
        <v>132.47225806451613</v>
      </c>
    </row>
    <row r="57" spans="1:21" x14ac:dyDescent="0.2">
      <c r="A57" s="302" t="s">
        <v>393</v>
      </c>
      <c r="B57" s="206" t="s">
        <v>274</v>
      </c>
      <c r="C57" s="207">
        <v>61</v>
      </c>
      <c r="D57" s="304" t="s">
        <v>266</v>
      </c>
      <c r="E57" s="206" t="s">
        <v>267</v>
      </c>
      <c r="F57" s="207" t="s">
        <v>308</v>
      </c>
      <c r="G57" s="207">
        <v>1</v>
      </c>
      <c r="H57" s="206">
        <v>0.5</v>
      </c>
      <c r="I57" s="206"/>
      <c r="J57" s="206"/>
      <c r="K57" s="209"/>
      <c r="L57" s="209">
        <v>10</v>
      </c>
      <c r="M57" s="296" t="s">
        <v>285</v>
      </c>
      <c r="N57" s="209">
        <v>2</v>
      </c>
      <c r="O57" s="13">
        <f>'PRECIOS INSUMOS 2015'!C102</f>
        <v>39</v>
      </c>
      <c r="P57" s="18">
        <f t="shared" si="4"/>
        <v>78</v>
      </c>
      <c r="Q57" s="209">
        <f>G57/H57</f>
        <v>2</v>
      </c>
      <c r="R57" s="308">
        <f t="shared" si="2"/>
        <v>160</v>
      </c>
      <c r="S57" s="306">
        <f t="shared" si="3"/>
        <v>238</v>
      </c>
    </row>
    <row r="58" spans="1:21" x14ac:dyDescent="0.2">
      <c r="A58" s="302" t="s">
        <v>395</v>
      </c>
      <c r="B58" s="206" t="s">
        <v>263</v>
      </c>
      <c r="C58" s="207">
        <v>65</v>
      </c>
      <c r="D58" s="304"/>
      <c r="E58" s="206" t="s">
        <v>264</v>
      </c>
      <c r="F58" s="207" t="s">
        <v>308</v>
      </c>
      <c r="G58" s="207">
        <v>1</v>
      </c>
      <c r="H58" s="206"/>
      <c r="I58" s="206"/>
      <c r="J58" s="206"/>
      <c r="K58" s="209"/>
      <c r="L58" s="209">
        <v>10</v>
      </c>
      <c r="M58" s="296" t="s">
        <v>1365</v>
      </c>
      <c r="N58" s="209">
        <v>0.35</v>
      </c>
      <c r="O58" s="13">
        <v>18</v>
      </c>
      <c r="P58" s="18">
        <f t="shared" si="4"/>
        <v>6.3</v>
      </c>
      <c r="Q58" s="209"/>
      <c r="R58" s="308">
        <f t="shared" si="2"/>
        <v>0</v>
      </c>
      <c r="S58" s="306">
        <f t="shared" si="3"/>
        <v>6.3</v>
      </c>
    </row>
    <row r="59" spans="1:21" x14ac:dyDescent="0.2">
      <c r="A59" s="302" t="s">
        <v>396</v>
      </c>
      <c r="B59" s="36" t="s">
        <v>592</v>
      </c>
      <c r="C59" s="1">
        <v>65</v>
      </c>
      <c r="D59" s="44"/>
      <c r="E59" s="36" t="s">
        <v>264</v>
      </c>
      <c r="F59" s="1" t="s">
        <v>308</v>
      </c>
      <c r="G59" s="1">
        <v>1</v>
      </c>
      <c r="H59" s="36">
        <v>0.62</v>
      </c>
      <c r="I59" s="36"/>
      <c r="J59" s="36"/>
      <c r="K59" s="306">
        <v>10</v>
      </c>
      <c r="L59" s="36"/>
      <c r="M59" s="88" t="s">
        <v>234</v>
      </c>
      <c r="N59" s="18">
        <f>0.86*2</f>
        <v>1.72</v>
      </c>
      <c r="O59" s="47">
        <f>'PRECIOS INSUMOS 2015'!C$5</f>
        <v>2</v>
      </c>
      <c r="P59" s="18">
        <f t="shared" si="4"/>
        <v>3.44</v>
      </c>
      <c r="Q59" s="18">
        <f>G59/H59</f>
        <v>1.6129032258064517</v>
      </c>
      <c r="R59" s="308">
        <f t="shared" si="2"/>
        <v>129.03225806451613</v>
      </c>
      <c r="S59" s="306">
        <f t="shared" si="3"/>
        <v>132.47225806451613</v>
      </c>
      <c r="T59" s="191">
        <v>367</v>
      </c>
    </row>
    <row r="60" spans="1:21" x14ac:dyDescent="0.2">
      <c r="A60" s="302" t="s">
        <v>397</v>
      </c>
      <c r="B60" s="206" t="s">
        <v>263</v>
      </c>
      <c r="C60" s="207">
        <v>70</v>
      </c>
      <c r="D60" s="207"/>
      <c r="E60" s="206" t="s">
        <v>264</v>
      </c>
      <c r="F60" s="207" t="s">
        <v>308</v>
      </c>
      <c r="G60" s="207">
        <v>1</v>
      </c>
      <c r="H60" s="206"/>
      <c r="I60" s="206"/>
      <c r="J60" s="206"/>
      <c r="K60" s="209"/>
      <c r="L60" s="209">
        <v>10</v>
      </c>
      <c r="M60" s="296" t="s">
        <v>1365</v>
      </c>
      <c r="N60" s="209">
        <v>0.35</v>
      </c>
      <c r="O60" s="13">
        <v>18</v>
      </c>
      <c r="P60" s="18">
        <f t="shared" si="4"/>
        <v>6.3</v>
      </c>
      <c r="Q60" s="209"/>
      <c r="R60" s="308">
        <f t="shared" si="2"/>
        <v>0</v>
      </c>
      <c r="S60" s="306">
        <f t="shared" si="3"/>
        <v>6.3</v>
      </c>
      <c r="T60" s="191">
        <v>152</v>
      </c>
    </row>
    <row r="61" spans="1:21" x14ac:dyDescent="0.2">
      <c r="A61" s="302" t="s">
        <v>398</v>
      </c>
      <c r="B61" s="36" t="s">
        <v>592</v>
      </c>
      <c r="C61" s="1">
        <v>70</v>
      </c>
      <c r="D61" s="44"/>
      <c r="E61" s="36" t="s">
        <v>264</v>
      </c>
      <c r="F61" s="1" t="s">
        <v>308</v>
      </c>
      <c r="G61" s="1">
        <v>1</v>
      </c>
      <c r="H61" s="36">
        <v>0.62</v>
      </c>
      <c r="I61" s="36"/>
      <c r="J61" s="36"/>
      <c r="K61" s="306">
        <v>10</v>
      </c>
      <c r="L61" s="36"/>
      <c r="M61" s="88" t="s">
        <v>234</v>
      </c>
      <c r="N61" s="18">
        <f>0.86*2</f>
        <v>1.72</v>
      </c>
      <c r="O61" s="47">
        <f>'PRECIOS INSUMOS 2015'!C$5</f>
        <v>2</v>
      </c>
      <c r="P61" s="18">
        <f t="shared" si="4"/>
        <v>3.44</v>
      </c>
      <c r="Q61" s="18">
        <f>G61/H61</f>
        <v>1.6129032258064517</v>
      </c>
      <c r="R61" s="308">
        <f t="shared" si="2"/>
        <v>129.03225806451613</v>
      </c>
      <c r="S61" s="306">
        <f t="shared" si="3"/>
        <v>132.47225806451613</v>
      </c>
      <c r="T61" s="191">
        <f>T59-T60</f>
        <v>215</v>
      </c>
      <c r="U61" s="191">
        <f>T61*40</f>
        <v>8600</v>
      </c>
    </row>
    <row r="62" spans="1:21" x14ac:dyDescent="0.2">
      <c r="A62" s="302" t="s">
        <v>399</v>
      </c>
      <c r="B62" s="206" t="s">
        <v>363</v>
      </c>
      <c r="C62" s="207">
        <v>71</v>
      </c>
      <c r="D62" s="304"/>
      <c r="E62" s="206" t="s">
        <v>266</v>
      </c>
      <c r="F62" s="207" t="s">
        <v>308</v>
      </c>
      <c r="G62" s="207">
        <v>1</v>
      </c>
      <c r="H62" s="206">
        <v>0.16</v>
      </c>
      <c r="I62" s="206"/>
      <c r="J62" s="206"/>
      <c r="K62" s="209"/>
      <c r="L62" s="209">
        <v>10</v>
      </c>
      <c r="M62" s="296"/>
      <c r="N62" s="209"/>
      <c r="O62" s="13"/>
      <c r="P62" s="18">
        <f t="shared" si="4"/>
        <v>0</v>
      </c>
      <c r="Q62" s="209">
        <f>G62/H62</f>
        <v>6.25</v>
      </c>
      <c r="R62" s="308">
        <f t="shared" si="2"/>
        <v>500</v>
      </c>
      <c r="S62" s="306">
        <f t="shared" si="3"/>
        <v>500</v>
      </c>
    </row>
    <row r="63" spans="1:21" x14ac:dyDescent="0.2">
      <c r="A63" s="302" t="s">
        <v>401</v>
      </c>
      <c r="B63" s="206" t="s">
        <v>263</v>
      </c>
      <c r="C63" s="207">
        <v>75</v>
      </c>
      <c r="D63" s="304"/>
      <c r="E63" s="206" t="s">
        <v>264</v>
      </c>
      <c r="F63" s="207" t="s">
        <v>308</v>
      </c>
      <c r="G63" s="207">
        <v>1</v>
      </c>
      <c r="H63" s="206"/>
      <c r="I63" s="206"/>
      <c r="J63" s="206"/>
      <c r="K63" s="209"/>
      <c r="L63" s="209">
        <v>10</v>
      </c>
      <c r="M63" s="296" t="s">
        <v>1365</v>
      </c>
      <c r="N63" s="209">
        <v>0.35</v>
      </c>
      <c r="O63" s="13">
        <v>18</v>
      </c>
      <c r="P63" s="18">
        <f t="shared" si="4"/>
        <v>6.3</v>
      </c>
      <c r="Q63" s="209"/>
      <c r="R63" s="308">
        <f t="shared" si="2"/>
        <v>0</v>
      </c>
      <c r="S63" s="306">
        <f t="shared" si="3"/>
        <v>6.3</v>
      </c>
    </row>
    <row r="64" spans="1:21" x14ac:dyDescent="0.2">
      <c r="A64" s="302" t="s">
        <v>402</v>
      </c>
      <c r="B64" s="36" t="s">
        <v>592</v>
      </c>
      <c r="C64" s="1">
        <v>75</v>
      </c>
      <c r="D64" s="44"/>
      <c r="E64" s="36" t="s">
        <v>264</v>
      </c>
      <c r="F64" s="1" t="s">
        <v>308</v>
      </c>
      <c r="G64" s="1">
        <v>1</v>
      </c>
      <c r="H64" s="36">
        <v>0.62</v>
      </c>
      <c r="I64" s="36"/>
      <c r="J64" s="36"/>
      <c r="K64" s="306">
        <v>10</v>
      </c>
      <c r="L64" s="36"/>
      <c r="M64" s="88" t="s">
        <v>234</v>
      </c>
      <c r="N64" s="18">
        <f>0.86*2</f>
        <v>1.72</v>
      </c>
      <c r="O64" s="47">
        <f>'PRECIOS INSUMOS 2015'!C$5</f>
        <v>2</v>
      </c>
      <c r="P64" s="18">
        <f t="shared" si="4"/>
        <v>3.44</v>
      </c>
      <c r="Q64" s="18">
        <f>G64/H64</f>
        <v>1.6129032258064517</v>
      </c>
      <c r="R64" s="308">
        <f t="shared" si="2"/>
        <v>129.03225806451613</v>
      </c>
      <c r="S64" s="306">
        <f t="shared" si="3"/>
        <v>132.47225806451613</v>
      </c>
    </row>
    <row r="65" spans="1:19" x14ac:dyDescent="0.2">
      <c r="A65" s="302" t="s">
        <v>403</v>
      </c>
      <c r="B65" s="206" t="s">
        <v>263</v>
      </c>
      <c r="C65" s="207">
        <v>80</v>
      </c>
      <c r="D65" s="304"/>
      <c r="E65" s="206" t="s">
        <v>264</v>
      </c>
      <c r="F65" s="207" t="s">
        <v>308</v>
      </c>
      <c r="G65" s="207">
        <v>1</v>
      </c>
      <c r="H65" s="206"/>
      <c r="I65" s="206"/>
      <c r="J65" s="206"/>
      <c r="K65" s="209"/>
      <c r="L65" s="209">
        <v>10</v>
      </c>
      <c r="M65" s="296" t="s">
        <v>1365</v>
      </c>
      <c r="N65" s="209">
        <v>0.35</v>
      </c>
      <c r="O65" s="13">
        <v>18</v>
      </c>
      <c r="P65" s="18">
        <f t="shared" si="4"/>
        <v>6.3</v>
      </c>
      <c r="Q65" s="209"/>
      <c r="R65" s="308">
        <f t="shared" si="2"/>
        <v>0</v>
      </c>
      <c r="S65" s="306">
        <f t="shared" si="3"/>
        <v>6.3</v>
      </c>
    </row>
    <row r="66" spans="1:19" x14ac:dyDescent="0.2">
      <c r="A66" s="302" t="s">
        <v>404</v>
      </c>
      <c r="B66" s="36" t="s">
        <v>592</v>
      </c>
      <c r="C66" s="1">
        <v>80</v>
      </c>
      <c r="D66" s="44"/>
      <c r="E66" s="36" t="s">
        <v>264</v>
      </c>
      <c r="F66" s="1" t="s">
        <v>308</v>
      </c>
      <c r="G66" s="1">
        <v>1</v>
      </c>
      <c r="H66" s="36">
        <v>0.62</v>
      </c>
      <c r="I66" s="36"/>
      <c r="J66" s="36"/>
      <c r="K66" s="306">
        <v>10</v>
      </c>
      <c r="L66" s="36"/>
      <c r="M66" s="88" t="s">
        <v>234</v>
      </c>
      <c r="N66" s="18">
        <f>0.86*2</f>
        <v>1.72</v>
      </c>
      <c r="O66" s="47">
        <f>'PRECIOS INSUMOS 2015'!C$5</f>
        <v>2</v>
      </c>
      <c r="P66" s="18">
        <f t="shared" si="4"/>
        <v>3.44</v>
      </c>
      <c r="Q66" s="18">
        <f>G66/H66</f>
        <v>1.6129032258064517</v>
      </c>
      <c r="R66" s="308">
        <f t="shared" si="2"/>
        <v>129.03225806451613</v>
      </c>
      <c r="S66" s="306">
        <f t="shared" si="3"/>
        <v>132.47225806451613</v>
      </c>
    </row>
    <row r="67" spans="1:19" x14ac:dyDescent="0.2">
      <c r="A67" s="302" t="s">
        <v>405</v>
      </c>
      <c r="B67" s="206" t="s">
        <v>263</v>
      </c>
      <c r="C67" s="207">
        <v>85</v>
      </c>
      <c r="D67" s="304"/>
      <c r="E67" s="206" t="s">
        <v>264</v>
      </c>
      <c r="F67" s="207" t="s">
        <v>308</v>
      </c>
      <c r="G67" s="207">
        <v>1</v>
      </c>
      <c r="H67" s="206"/>
      <c r="I67" s="206"/>
      <c r="J67" s="206"/>
      <c r="K67" s="209"/>
      <c r="L67" s="209">
        <v>10</v>
      </c>
      <c r="M67" s="296" t="s">
        <v>1365</v>
      </c>
      <c r="N67" s="209">
        <v>0.35</v>
      </c>
      <c r="O67" s="13">
        <v>18</v>
      </c>
      <c r="P67" s="18">
        <f t="shared" si="4"/>
        <v>6.3</v>
      </c>
      <c r="Q67" s="209"/>
      <c r="R67" s="308">
        <f t="shared" si="2"/>
        <v>0</v>
      </c>
      <c r="S67" s="306">
        <f t="shared" si="3"/>
        <v>6.3</v>
      </c>
    </row>
    <row r="68" spans="1:19" x14ac:dyDescent="0.2">
      <c r="A68" s="302" t="s">
        <v>406</v>
      </c>
      <c r="B68" s="36" t="s">
        <v>592</v>
      </c>
      <c r="C68" s="1">
        <v>85</v>
      </c>
      <c r="D68" s="1"/>
      <c r="E68" s="36" t="s">
        <v>264</v>
      </c>
      <c r="F68" s="1" t="s">
        <v>308</v>
      </c>
      <c r="G68" s="1">
        <v>1</v>
      </c>
      <c r="H68" s="36">
        <v>0.62</v>
      </c>
      <c r="I68" s="36"/>
      <c r="J68" s="36"/>
      <c r="K68" s="306">
        <v>10</v>
      </c>
      <c r="L68" s="36"/>
      <c r="M68" s="88" t="s">
        <v>234</v>
      </c>
      <c r="N68" s="18">
        <f>0.86*2</f>
        <v>1.72</v>
      </c>
      <c r="O68" s="47">
        <f>'PRECIOS INSUMOS 2015'!C$5</f>
        <v>2</v>
      </c>
      <c r="P68" s="18">
        <f t="shared" si="4"/>
        <v>3.44</v>
      </c>
      <c r="Q68" s="18">
        <f>G68/H68</f>
        <v>1.6129032258064517</v>
      </c>
      <c r="R68" s="308">
        <f t="shared" si="2"/>
        <v>129.03225806451613</v>
      </c>
      <c r="S68" s="306">
        <f t="shared" si="3"/>
        <v>132.47225806451613</v>
      </c>
    </row>
    <row r="69" spans="1:19" x14ac:dyDescent="0.2">
      <c r="A69" s="302" t="s">
        <v>407</v>
      </c>
      <c r="B69" s="206" t="s">
        <v>274</v>
      </c>
      <c r="C69" s="207">
        <v>90</v>
      </c>
      <c r="D69" s="304"/>
      <c r="E69" s="206" t="s">
        <v>385</v>
      </c>
      <c r="F69" s="207" t="s">
        <v>308</v>
      </c>
      <c r="G69" s="207">
        <v>1</v>
      </c>
      <c r="H69" s="206">
        <v>6.5</v>
      </c>
      <c r="I69" s="206"/>
      <c r="J69" s="206"/>
      <c r="K69" s="209"/>
      <c r="L69" s="209">
        <v>10</v>
      </c>
      <c r="M69" s="296" t="s">
        <v>1466</v>
      </c>
      <c r="N69" s="209">
        <v>2</v>
      </c>
      <c r="O69" s="13">
        <f>'PRECIOS INSUMOS 2015'!C$85</f>
        <v>87</v>
      </c>
      <c r="P69" s="18">
        <f t="shared" si="4"/>
        <v>174</v>
      </c>
      <c r="Q69" s="209">
        <f>G69/H69</f>
        <v>0.15384615384615385</v>
      </c>
      <c r="R69" s="308">
        <f t="shared" si="2"/>
        <v>12.307692307692308</v>
      </c>
      <c r="S69" s="306">
        <f t="shared" si="3"/>
        <v>186.30769230769232</v>
      </c>
    </row>
    <row r="70" spans="1:19" x14ac:dyDescent="0.2">
      <c r="A70" s="302" t="s">
        <v>408</v>
      </c>
      <c r="B70" s="206" t="s">
        <v>363</v>
      </c>
      <c r="C70" s="207">
        <v>91</v>
      </c>
      <c r="D70" s="304"/>
      <c r="E70" s="206" t="s">
        <v>266</v>
      </c>
      <c r="F70" s="207" t="s">
        <v>308</v>
      </c>
      <c r="G70" s="207">
        <v>1</v>
      </c>
      <c r="H70" s="206">
        <v>0.16</v>
      </c>
      <c r="I70" s="206"/>
      <c r="J70" s="206"/>
      <c r="K70" s="209"/>
      <c r="L70" s="209">
        <v>10</v>
      </c>
      <c r="M70" s="296"/>
      <c r="N70" s="209"/>
      <c r="O70" s="13"/>
      <c r="P70" s="18">
        <f t="shared" si="4"/>
        <v>0</v>
      </c>
      <c r="Q70" s="209">
        <f>G70/H70</f>
        <v>6.25</v>
      </c>
      <c r="R70" s="308">
        <f t="shared" si="2"/>
        <v>500</v>
      </c>
      <c r="S70" s="306">
        <f t="shared" si="3"/>
        <v>500</v>
      </c>
    </row>
    <row r="71" spans="1:19" x14ac:dyDescent="0.2">
      <c r="A71" s="302" t="s">
        <v>409</v>
      </c>
      <c r="B71" s="206" t="s">
        <v>263</v>
      </c>
      <c r="C71" s="207">
        <v>93</v>
      </c>
      <c r="D71" s="304"/>
      <c r="E71" s="206" t="s">
        <v>264</v>
      </c>
      <c r="F71" s="207" t="s">
        <v>308</v>
      </c>
      <c r="G71" s="207">
        <v>1</v>
      </c>
      <c r="H71" s="206"/>
      <c r="I71" s="206"/>
      <c r="J71" s="206"/>
      <c r="K71" s="209"/>
      <c r="L71" s="209">
        <v>10</v>
      </c>
      <c r="M71" s="296" t="s">
        <v>1365</v>
      </c>
      <c r="N71" s="209">
        <v>0.35</v>
      </c>
      <c r="O71" s="13">
        <v>18</v>
      </c>
      <c r="P71" s="18">
        <f t="shared" si="4"/>
        <v>6.3</v>
      </c>
      <c r="Q71" s="209"/>
      <c r="R71" s="308">
        <f t="shared" si="2"/>
        <v>0</v>
      </c>
      <c r="S71" s="306">
        <f t="shared" si="3"/>
        <v>6.3</v>
      </c>
    </row>
    <row r="72" spans="1:19" x14ac:dyDescent="0.2">
      <c r="A72" s="302" t="s">
        <v>410</v>
      </c>
      <c r="B72" s="36" t="s">
        <v>592</v>
      </c>
      <c r="C72" s="1">
        <v>93</v>
      </c>
      <c r="D72" s="44"/>
      <c r="E72" s="36" t="s">
        <v>264</v>
      </c>
      <c r="F72" s="1" t="s">
        <v>308</v>
      </c>
      <c r="G72" s="1">
        <v>1</v>
      </c>
      <c r="H72" s="36">
        <v>0.62</v>
      </c>
      <c r="I72" s="36"/>
      <c r="J72" s="36"/>
      <c r="K72" s="306">
        <v>10</v>
      </c>
      <c r="L72" s="36"/>
      <c r="M72" s="88" t="s">
        <v>234</v>
      </c>
      <c r="N72" s="18">
        <f>0.86*2</f>
        <v>1.72</v>
      </c>
      <c r="O72" s="47">
        <f>'PRECIOS INSUMOS 2015'!C$5</f>
        <v>2</v>
      </c>
      <c r="P72" s="18">
        <f t="shared" si="4"/>
        <v>3.44</v>
      </c>
      <c r="Q72" s="18">
        <f>G72/H72</f>
        <v>1.6129032258064517</v>
      </c>
      <c r="R72" s="308">
        <f t="shared" si="2"/>
        <v>129.03225806451613</v>
      </c>
      <c r="S72" s="306">
        <f t="shared" si="3"/>
        <v>132.47225806451613</v>
      </c>
    </row>
    <row r="73" spans="1:19" x14ac:dyDescent="0.2">
      <c r="A73" s="302" t="s">
        <v>411</v>
      </c>
      <c r="B73" s="211" t="s">
        <v>388</v>
      </c>
      <c r="C73" s="207">
        <v>95</v>
      </c>
      <c r="D73" s="207" t="s">
        <v>257</v>
      </c>
      <c r="E73" s="212" t="s">
        <v>305</v>
      </c>
      <c r="F73" s="207" t="s">
        <v>436</v>
      </c>
      <c r="G73" s="207">
        <v>0.5</v>
      </c>
      <c r="H73" s="206">
        <v>1.49</v>
      </c>
      <c r="I73" s="206"/>
      <c r="J73" s="206"/>
      <c r="K73" s="306">
        <v>10</v>
      </c>
      <c r="L73" s="209"/>
      <c r="M73" s="296" t="s">
        <v>284</v>
      </c>
      <c r="N73" s="209">
        <v>0.5</v>
      </c>
      <c r="O73" s="13">
        <f>'PRECIOS INSUMOS 2015'!E193</f>
        <v>1500</v>
      </c>
      <c r="P73" s="18">
        <f t="shared" ref="P73:P104" si="5">O73*N73</f>
        <v>750</v>
      </c>
      <c r="Q73" s="209">
        <f>G73/H73</f>
        <v>0.33557046979865773</v>
      </c>
      <c r="R73" s="308">
        <f t="shared" si="2"/>
        <v>26.845637583892618</v>
      </c>
      <c r="S73" s="306">
        <f t="shared" si="3"/>
        <v>776.84563758389265</v>
      </c>
    </row>
    <row r="74" spans="1:19" x14ac:dyDescent="0.2">
      <c r="A74" s="302" t="s">
        <v>412</v>
      </c>
      <c r="B74" s="211" t="s">
        <v>390</v>
      </c>
      <c r="C74" s="207">
        <v>95</v>
      </c>
      <c r="D74" s="304" t="s">
        <v>266</v>
      </c>
      <c r="E74" s="206" t="s">
        <v>266</v>
      </c>
      <c r="F74" s="207" t="s">
        <v>436</v>
      </c>
      <c r="G74" s="207">
        <v>0.5</v>
      </c>
      <c r="H74" s="206">
        <v>10</v>
      </c>
      <c r="I74" s="206"/>
      <c r="J74" s="206"/>
      <c r="K74" s="209"/>
      <c r="L74" s="209">
        <v>10</v>
      </c>
      <c r="M74" s="296"/>
      <c r="N74" s="209"/>
      <c r="O74" s="13"/>
      <c r="P74" s="18">
        <f t="shared" si="5"/>
        <v>0</v>
      </c>
      <c r="Q74" s="209">
        <f>G74/H74</f>
        <v>0.05</v>
      </c>
      <c r="R74" s="308">
        <f t="shared" ref="R74:R126" si="6">(K74+L74)*Q74*8</f>
        <v>4</v>
      </c>
      <c r="S74" s="306">
        <f t="shared" ref="S74:S128" si="7">R74+P74</f>
        <v>4</v>
      </c>
    </row>
    <row r="75" spans="1:19" x14ac:dyDescent="0.2">
      <c r="A75" s="302" t="s">
        <v>413</v>
      </c>
      <c r="B75" s="206" t="s">
        <v>365</v>
      </c>
      <c r="C75" s="207">
        <v>97</v>
      </c>
      <c r="D75" s="304"/>
      <c r="E75" s="206" t="s">
        <v>264</v>
      </c>
      <c r="F75" s="207" t="s">
        <v>308</v>
      </c>
      <c r="G75" s="207">
        <v>1</v>
      </c>
      <c r="H75" s="206"/>
      <c r="I75" s="206"/>
      <c r="J75" s="206"/>
      <c r="K75" s="209"/>
      <c r="L75" s="209">
        <v>10</v>
      </c>
      <c r="M75" s="296" t="s">
        <v>1365</v>
      </c>
      <c r="N75" s="209">
        <v>0.35</v>
      </c>
      <c r="O75" s="13">
        <v>18</v>
      </c>
      <c r="P75" s="18">
        <f t="shared" si="5"/>
        <v>6.3</v>
      </c>
      <c r="Q75" s="209"/>
      <c r="R75" s="308">
        <f t="shared" si="6"/>
        <v>0</v>
      </c>
      <c r="S75" s="306">
        <f t="shared" si="7"/>
        <v>6.3</v>
      </c>
    </row>
    <row r="76" spans="1:19" x14ac:dyDescent="0.2">
      <c r="A76" s="302" t="s">
        <v>414</v>
      </c>
      <c r="B76" s="36" t="s">
        <v>592</v>
      </c>
      <c r="C76" s="1">
        <v>97</v>
      </c>
      <c r="D76" s="44"/>
      <c r="E76" s="36" t="s">
        <v>264</v>
      </c>
      <c r="F76" s="1" t="s">
        <v>308</v>
      </c>
      <c r="G76" s="1">
        <v>1</v>
      </c>
      <c r="H76" s="36">
        <v>0.62</v>
      </c>
      <c r="I76" s="36"/>
      <c r="J76" s="36"/>
      <c r="K76" s="306">
        <v>10</v>
      </c>
      <c r="L76" s="36"/>
      <c r="M76" s="88" t="s">
        <v>234</v>
      </c>
      <c r="N76" s="18">
        <f>0.86*2</f>
        <v>1.72</v>
      </c>
      <c r="O76" s="47">
        <f>'PRECIOS INSUMOS 2015'!C$5</f>
        <v>2</v>
      </c>
      <c r="P76" s="18">
        <f t="shared" si="5"/>
        <v>3.44</v>
      </c>
      <c r="Q76" s="18">
        <f>G76/H76</f>
        <v>1.6129032258064517</v>
      </c>
      <c r="R76" s="308">
        <f t="shared" si="6"/>
        <v>129.03225806451613</v>
      </c>
      <c r="S76" s="306">
        <f t="shared" si="7"/>
        <v>132.47225806451613</v>
      </c>
    </row>
    <row r="77" spans="1:19" x14ac:dyDescent="0.2">
      <c r="A77" s="302" t="s">
        <v>415</v>
      </c>
      <c r="B77" s="206" t="s">
        <v>263</v>
      </c>
      <c r="C77" s="207">
        <v>105</v>
      </c>
      <c r="D77" s="304"/>
      <c r="E77" s="206" t="s">
        <v>264</v>
      </c>
      <c r="F77" s="207" t="s">
        <v>308</v>
      </c>
      <c r="G77" s="207">
        <v>1</v>
      </c>
      <c r="H77" s="206"/>
      <c r="I77" s="206"/>
      <c r="J77" s="206"/>
      <c r="K77" s="209"/>
      <c r="L77" s="209">
        <v>10</v>
      </c>
      <c r="M77" s="296" t="s">
        <v>1365</v>
      </c>
      <c r="N77" s="209">
        <v>0.35</v>
      </c>
      <c r="O77" s="13">
        <v>18</v>
      </c>
      <c r="P77" s="18">
        <f t="shared" si="5"/>
        <v>6.3</v>
      </c>
      <c r="Q77" s="209"/>
      <c r="R77" s="308">
        <f t="shared" si="6"/>
        <v>0</v>
      </c>
      <c r="S77" s="306">
        <f t="shared" si="7"/>
        <v>6.3</v>
      </c>
    </row>
    <row r="78" spans="1:19" x14ac:dyDescent="0.2">
      <c r="A78" s="302" t="s">
        <v>416</v>
      </c>
      <c r="B78" s="36" t="s">
        <v>592</v>
      </c>
      <c r="C78" s="1">
        <v>105</v>
      </c>
      <c r="D78" s="44"/>
      <c r="E78" s="36" t="s">
        <v>264</v>
      </c>
      <c r="F78" s="1" t="s">
        <v>308</v>
      </c>
      <c r="G78" s="1">
        <v>1</v>
      </c>
      <c r="H78" s="36">
        <v>0.62</v>
      </c>
      <c r="I78" s="36"/>
      <c r="J78" s="36"/>
      <c r="K78" s="306">
        <v>10</v>
      </c>
      <c r="L78" s="36"/>
      <c r="M78" s="88" t="s">
        <v>234</v>
      </c>
      <c r="N78" s="18">
        <f>0.86*2</f>
        <v>1.72</v>
      </c>
      <c r="O78" s="47">
        <f>'PRECIOS INSUMOS 2015'!C$5</f>
        <v>2</v>
      </c>
      <c r="P78" s="18">
        <f t="shared" si="5"/>
        <v>3.44</v>
      </c>
      <c r="Q78" s="18">
        <f>G78/H78</f>
        <v>1.6129032258064517</v>
      </c>
      <c r="R78" s="308">
        <f t="shared" si="6"/>
        <v>129.03225806451613</v>
      </c>
      <c r="S78" s="306">
        <f t="shared" si="7"/>
        <v>132.47225806451613</v>
      </c>
    </row>
    <row r="79" spans="1:19" s="317" customFormat="1" x14ac:dyDescent="0.2">
      <c r="A79" s="302" t="s">
        <v>417</v>
      </c>
      <c r="B79" s="206" t="s">
        <v>363</v>
      </c>
      <c r="C79" s="207">
        <v>111</v>
      </c>
      <c r="D79" s="304"/>
      <c r="E79" s="206" t="s">
        <v>266</v>
      </c>
      <c r="F79" s="207" t="s">
        <v>308</v>
      </c>
      <c r="G79" s="207">
        <v>1</v>
      </c>
      <c r="H79" s="206">
        <v>0.16</v>
      </c>
      <c r="I79" s="206"/>
      <c r="J79" s="206"/>
      <c r="K79" s="209"/>
      <c r="L79" s="209">
        <v>10</v>
      </c>
      <c r="M79" s="296"/>
      <c r="N79" s="209"/>
      <c r="O79" s="13"/>
      <c r="P79" s="18">
        <f t="shared" si="5"/>
        <v>0</v>
      </c>
      <c r="Q79" s="209">
        <f>G79/H79</f>
        <v>6.25</v>
      </c>
      <c r="R79" s="308">
        <f t="shared" si="6"/>
        <v>500</v>
      </c>
      <c r="S79" s="306">
        <f t="shared" si="7"/>
        <v>500</v>
      </c>
    </row>
    <row r="80" spans="1:19" s="317" customFormat="1" x14ac:dyDescent="0.2">
      <c r="A80" s="302" t="s">
        <v>418</v>
      </c>
      <c r="B80" s="206" t="s">
        <v>263</v>
      </c>
      <c r="C80" s="207">
        <v>116</v>
      </c>
      <c r="D80" s="304"/>
      <c r="E80" s="206" t="s">
        <v>264</v>
      </c>
      <c r="F80" s="207" t="s">
        <v>308</v>
      </c>
      <c r="G80" s="207">
        <v>1</v>
      </c>
      <c r="H80" s="206"/>
      <c r="I80" s="206"/>
      <c r="J80" s="206"/>
      <c r="K80" s="209"/>
      <c r="L80" s="209">
        <v>10</v>
      </c>
      <c r="M80" s="296" t="s">
        <v>1365</v>
      </c>
      <c r="N80" s="209">
        <v>0.35</v>
      </c>
      <c r="O80" s="13">
        <v>18</v>
      </c>
      <c r="P80" s="18">
        <f t="shared" si="5"/>
        <v>6.3</v>
      </c>
      <c r="Q80" s="209"/>
      <c r="R80" s="308">
        <f t="shared" si="6"/>
        <v>0</v>
      </c>
      <c r="S80" s="306">
        <f t="shared" si="7"/>
        <v>6.3</v>
      </c>
    </row>
    <row r="81" spans="1:19" s="317" customFormat="1" x14ac:dyDescent="0.2">
      <c r="A81" s="302" t="s">
        <v>419</v>
      </c>
      <c r="B81" s="36" t="s">
        <v>592</v>
      </c>
      <c r="C81" s="1">
        <v>116</v>
      </c>
      <c r="D81" s="1"/>
      <c r="E81" s="36" t="s">
        <v>264</v>
      </c>
      <c r="F81" s="1" t="s">
        <v>308</v>
      </c>
      <c r="G81" s="1">
        <v>1</v>
      </c>
      <c r="H81" s="36">
        <v>0.62</v>
      </c>
      <c r="I81" s="36"/>
      <c r="J81" s="36"/>
      <c r="K81" s="306">
        <v>10</v>
      </c>
      <c r="L81" s="36"/>
      <c r="M81" s="88" t="s">
        <v>234</v>
      </c>
      <c r="N81" s="18">
        <f>0.86*2</f>
        <v>1.72</v>
      </c>
      <c r="O81" s="47">
        <f>'PRECIOS INSUMOS 2015'!C$5</f>
        <v>2</v>
      </c>
      <c r="P81" s="18">
        <f t="shared" si="5"/>
        <v>3.44</v>
      </c>
      <c r="Q81" s="18">
        <f>G81/H81</f>
        <v>1.6129032258064517</v>
      </c>
      <c r="R81" s="308">
        <f t="shared" si="6"/>
        <v>129.03225806451613</v>
      </c>
      <c r="S81" s="306">
        <f t="shared" si="7"/>
        <v>132.47225806451613</v>
      </c>
    </row>
    <row r="82" spans="1:19" s="317" customFormat="1" x14ac:dyDescent="0.2">
      <c r="A82" s="302" t="s">
        <v>420</v>
      </c>
      <c r="B82" s="374" t="s">
        <v>394</v>
      </c>
      <c r="C82" s="375">
        <v>120</v>
      </c>
      <c r="D82" s="386" t="s">
        <v>266</v>
      </c>
      <c r="E82" s="374" t="s">
        <v>267</v>
      </c>
      <c r="F82" s="375" t="s">
        <v>308</v>
      </c>
      <c r="G82" s="375">
        <v>1</v>
      </c>
      <c r="H82" s="374">
        <v>2.8</v>
      </c>
      <c r="I82" s="374"/>
      <c r="J82" s="374"/>
      <c r="K82" s="209"/>
      <c r="L82" s="209">
        <v>10</v>
      </c>
      <c r="M82" s="296" t="s">
        <v>1466</v>
      </c>
      <c r="N82" s="209">
        <v>2</v>
      </c>
      <c r="O82" s="13">
        <f>'PRECIOS INSUMOS 2015'!C$85</f>
        <v>87</v>
      </c>
      <c r="P82" s="18">
        <f t="shared" si="5"/>
        <v>174</v>
      </c>
      <c r="Q82" s="209">
        <f>G82/H82</f>
        <v>0.35714285714285715</v>
      </c>
      <c r="R82" s="308">
        <f t="shared" si="6"/>
        <v>28.571428571428573</v>
      </c>
      <c r="S82" s="306">
        <f t="shared" si="7"/>
        <v>202.57142857142858</v>
      </c>
    </row>
    <row r="83" spans="1:19" s="317" customFormat="1" ht="13.5" thickBot="1" x14ac:dyDescent="0.25">
      <c r="A83" s="242" t="s">
        <v>421</v>
      </c>
      <c r="B83" s="381" t="s">
        <v>263</v>
      </c>
      <c r="C83" s="244">
        <v>128</v>
      </c>
      <c r="D83" s="244"/>
      <c r="E83" s="381" t="s">
        <v>264</v>
      </c>
      <c r="F83" s="244" t="s">
        <v>308</v>
      </c>
      <c r="G83" s="244">
        <v>1</v>
      </c>
      <c r="H83" s="381"/>
      <c r="I83" s="381"/>
      <c r="J83" s="381"/>
      <c r="K83" s="247"/>
      <c r="L83" s="209">
        <v>10</v>
      </c>
      <c r="M83" s="296" t="s">
        <v>1365</v>
      </c>
      <c r="N83" s="247">
        <v>0.35</v>
      </c>
      <c r="O83" s="13">
        <v>18</v>
      </c>
      <c r="P83" s="59">
        <f t="shared" si="5"/>
        <v>6.3</v>
      </c>
      <c r="Q83" s="247"/>
      <c r="R83" s="257">
        <f t="shared" si="6"/>
        <v>0</v>
      </c>
      <c r="S83" s="306">
        <f t="shared" si="7"/>
        <v>6.3</v>
      </c>
    </row>
    <row r="84" spans="1:19" s="317" customFormat="1" x14ac:dyDescent="0.2">
      <c r="A84" s="302" t="s">
        <v>422</v>
      </c>
      <c r="B84" s="36" t="s">
        <v>592</v>
      </c>
      <c r="C84" s="1">
        <v>128</v>
      </c>
      <c r="D84" s="1"/>
      <c r="E84" s="36" t="s">
        <v>264</v>
      </c>
      <c r="F84" s="1" t="s">
        <v>308</v>
      </c>
      <c r="G84" s="1">
        <v>1</v>
      </c>
      <c r="H84" s="36">
        <v>0.62</v>
      </c>
      <c r="I84" s="36"/>
      <c r="J84" s="36"/>
      <c r="K84" s="306">
        <v>10</v>
      </c>
      <c r="L84" s="36"/>
      <c r="M84" s="88" t="s">
        <v>234</v>
      </c>
      <c r="N84" s="18">
        <f>0.86*2</f>
        <v>1.72</v>
      </c>
      <c r="O84" s="47">
        <f>'PRECIOS INSUMOS 2015'!C$5</f>
        <v>2</v>
      </c>
      <c r="P84" s="18">
        <f t="shared" si="5"/>
        <v>3.44</v>
      </c>
      <c r="Q84" s="18">
        <f>G84/H84</f>
        <v>1.6129032258064517</v>
      </c>
      <c r="R84" s="308">
        <f t="shared" si="6"/>
        <v>129.03225806451613</v>
      </c>
      <c r="S84" s="306">
        <f t="shared" si="7"/>
        <v>132.47225806451613</v>
      </c>
    </row>
    <row r="85" spans="1:19" s="317" customFormat="1" x14ac:dyDescent="0.2">
      <c r="A85" s="302" t="s">
        <v>423</v>
      </c>
      <c r="B85" s="206" t="s">
        <v>363</v>
      </c>
      <c r="C85" s="207">
        <v>131</v>
      </c>
      <c r="D85" s="304"/>
      <c r="E85" s="206" t="s">
        <v>266</v>
      </c>
      <c r="F85" s="207" t="s">
        <v>308</v>
      </c>
      <c r="G85" s="207">
        <v>1</v>
      </c>
      <c r="H85" s="206">
        <v>0.16</v>
      </c>
      <c r="I85" s="206"/>
      <c r="J85" s="206"/>
      <c r="K85" s="209"/>
      <c r="L85" s="209">
        <v>10</v>
      </c>
      <c r="M85" s="296"/>
      <c r="N85" s="209"/>
      <c r="O85" s="13"/>
      <c r="P85" s="18">
        <f t="shared" si="5"/>
        <v>0</v>
      </c>
      <c r="Q85" s="209">
        <f>G85/H85</f>
        <v>6.25</v>
      </c>
      <c r="R85" s="308">
        <f t="shared" si="6"/>
        <v>500</v>
      </c>
      <c r="S85" s="306">
        <f t="shared" si="7"/>
        <v>500</v>
      </c>
    </row>
    <row r="86" spans="1:19" s="317" customFormat="1" x14ac:dyDescent="0.2">
      <c r="A86" s="302" t="s">
        <v>424</v>
      </c>
      <c r="B86" s="206" t="s">
        <v>400</v>
      </c>
      <c r="C86" s="207">
        <v>135</v>
      </c>
      <c r="D86" s="304"/>
      <c r="E86" s="206" t="s">
        <v>266</v>
      </c>
      <c r="F86" s="207" t="s">
        <v>308</v>
      </c>
      <c r="G86" s="207">
        <v>1</v>
      </c>
      <c r="H86" s="206">
        <v>0.33</v>
      </c>
      <c r="I86" s="206"/>
      <c r="J86" s="206"/>
      <c r="K86" s="209"/>
      <c r="L86" s="209">
        <v>10</v>
      </c>
      <c r="M86" s="296"/>
      <c r="N86" s="209"/>
      <c r="O86" s="13"/>
      <c r="P86" s="18">
        <f t="shared" si="5"/>
        <v>0</v>
      </c>
      <c r="Q86" s="209">
        <f>G86/H86</f>
        <v>3.0303030303030303</v>
      </c>
      <c r="R86" s="308">
        <f t="shared" si="6"/>
        <v>242.42424242424244</v>
      </c>
      <c r="S86" s="306">
        <f t="shared" si="7"/>
        <v>242.42424242424244</v>
      </c>
    </row>
    <row r="87" spans="1:19" s="317" customFormat="1" x14ac:dyDescent="0.2">
      <c r="A87" s="302" t="s">
        <v>425</v>
      </c>
      <c r="B87" s="206" t="s">
        <v>263</v>
      </c>
      <c r="C87" s="207">
        <v>140</v>
      </c>
      <c r="D87" s="304"/>
      <c r="E87" s="206" t="s">
        <v>264</v>
      </c>
      <c r="F87" s="207" t="s">
        <v>308</v>
      </c>
      <c r="G87" s="207">
        <v>1</v>
      </c>
      <c r="H87" s="206"/>
      <c r="I87" s="206"/>
      <c r="J87" s="206"/>
      <c r="K87" s="209"/>
      <c r="L87" s="209">
        <v>10</v>
      </c>
      <c r="M87" s="296" t="s">
        <v>1365</v>
      </c>
      <c r="N87" s="209">
        <v>0.35</v>
      </c>
      <c r="O87" s="13">
        <v>18</v>
      </c>
      <c r="P87" s="18">
        <f t="shared" si="5"/>
        <v>6.3</v>
      </c>
      <c r="Q87" s="209"/>
      <c r="R87" s="308">
        <f t="shared" si="6"/>
        <v>0</v>
      </c>
      <c r="S87" s="306">
        <f t="shared" si="7"/>
        <v>6.3</v>
      </c>
    </row>
    <row r="88" spans="1:19" s="317" customFormat="1" x14ac:dyDescent="0.2">
      <c r="A88" s="302" t="s">
        <v>426</v>
      </c>
      <c r="B88" s="36" t="s">
        <v>592</v>
      </c>
      <c r="C88" s="1">
        <v>140</v>
      </c>
      <c r="D88" s="44"/>
      <c r="E88" s="36" t="s">
        <v>264</v>
      </c>
      <c r="F88" s="1" t="s">
        <v>308</v>
      </c>
      <c r="G88" s="1">
        <v>1</v>
      </c>
      <c r="H88" s="36">
        <v>0.62</v>
      </c>
      <c r="I88" s="36"/>
      <c r="J88" s="36"/>
      <c r="K88" s="306">
        <v>10</v>
      </c>
      <c r="L88" s="36"/>
      <c r="M88" s="88" t="s">
        <v>234</v>
      </c>
      <c r="N88" s="18">
        <f>0.86*2</f>
        <v>1.72</v>
      </c>
      <c r="O88" s="47">
        <f>'PRECIOS INSUMOS 2015'!C$5</f>
        <v>2</v>
      </c>
      <c r="P88" s="18">
        <f t="shared" si="5"/>
        <v>3.44</v>
      </c>
      <c r="Q88" s="18">
        <f>G88/H88</f>
        <v>1.6129032258064517</v>
      </c>
      <c r="R88" s="308">
        <f t="shared" si="6"/>
        <v>129.03225806451613</v>
      </c>
      <c r="S88" s="306">
        <f t="shared" si="7"/>
        <v>132.47225806451613</v>
      </c>
    </row>
    <row r="89" spans="1:19" s="317" customFormat="1" x14ac:dyDescent="0.2">
      <c r="A89" s="302" t="s">
        <v>427</v>
      </c>
      <c r="B89" s="206" t="s">
        <v>263</v>
      </c>
      <c r="C89" s="207">
        <v>152</v>
      </c>
      <c r="D89" s="304"/>
      <c r="E89" s="206" t="s">
        <v>264</v>
      </c>
      <c r="F89" s="207" t="s">
        <v>308</v>
      </c>
      <c r="G89" s="207">
        <v>1</v>
      </c>
      <c r="H89" s="206"/>
      <c r="I89" s="206"/>
      <c r="J89" s="206"/>
      <c r="K89" s="209"/>
      <c r="L89" s="209">
        <v>10</v>
      </c>
      <c r="M89" s="296" t="s">
        <v>1365</v>
      </c>
      <c r="N89" s="209">
        <v>0.35</v>
      </c>
      <c r="O89" s="13">
        <v>18</v>
      </c>
      <c r="P89" s="18">
        <f t="shared" si="5"/>
        <v>6.3</v>
      </c>
      <c r="Q89" s="209"/>
      <c r="R89" s="308">
        <f t="shared" si="6"/>
        <v>0</v>
      </c>
      <c r="S89" s="306">
        <f t="shared" si="7"/>
        <v>6.3</v>
      </c>
    </row>
    <row r="90" spans="1:19" s="317" customFormat="1" x14ac:dyDescent="0.2">
      <c r="A90" s="302" t="s">
        <v>428</v>
      </c>
      <c r="B90" s="36" t="s">
        <v>592</v>
      </c>
      <c r="C90" s="1">
        <v>152</v>
      </c>
      <c r="D90" s="44"/>
      <c r="E90" s="36" t="s">
        <v>264</v>
      </c>
      <c r="F90" s="1" t="s">
        <v>308</v>
      </c>
      <c r="G90" s="1">
        <v>1</v>
      </c>
      <c r="H90" s="36">
        <v>0.62</v>
      </c>
      <c r="I90" s="36"/>
      <c r="J90" s="36"/>
      <c r="K90" s="306">
        <v>10</v>
      </c>
      <c r="L90" s="36"/>
      <c r="M90" s="88" t="s">
        <v>234</v>
      </c>
      <c r="N90" s="18">
        <f>0.86*2</f>
        <v>1.72</v>
      </c>
      <c r="O90" s="47">
        <f>'PRECIOS INSUMOS 2015'!C$5</f>
        <v>2</v>
      </c>
      <c r="P90" s="18">
        <f t="shared" si="5"/>
        <v>3.44</v>
      </c>
      <c r="Q90" s="18">
        <f>G90/H90</f>
        <v>1.6129032258064517</v>
      </c>
      <c r="R90" s="308">
        <f t="shared" si="6"/>
        <v>129.03225806451613</v>
      </c>
      <c r="S90" s="306">
        <f t="shared" si="7"/>
        <v>132.47225806451613</v>
      </c>
    </row>
    <row r="91" spans="1:19" s="317" customFormat="1" x14ac:dyDescent="0.2">
      <c r="A91" s="302" t="s">
        <v>429</v>
      </c>
      <c r="B91" s="206" t="s">
        <v>263</v>
      </c>
      <c r="C91" s="207">
        <v>164</v>
      </c>
      <c r="D91" s="304"/>
      <c r="E91" s="206" t="s">
        <v>264</v>
      </c>
      <c r="F91" s="207" t="s">
        <v>308</v>
      </c>
      <c r="G91" s="207">
        <v>1</v>
      </c>
      <c r="H91" s="206"/>
      <c r="I91" s="206"/>
      <c r="J91" s="206"/>
      <c r="K91" s="209"/>
      <c r="L91" s="209">
        <v>10</v>
      </c>
      <c r="M91" s="296" t="s">
        <v>1365</v>
      </c>
      <c r="N91" s="209">
        <v>0.35</v>
      </c>
      <c r="O91" s="13">
        <v>18</v>
      </c>
      <c r="P91" s="18">
        <f t="shared" si="5"/>
        <v>6.3</v>
      </c>
      <c r="Q91" s="209"/>
      <c r="R91" s="308">
        <f t="shared" si="6"/>
        <v>0</v>
      </c>
      <c r="S91" s="306">
        <f t="shared" si="7"/>
        <v>6.3</v>
      </c>
    </row>
    <row r="92" spans="1:19" s="317" customFormat="1" x14ac:dyDescent="0.2">
      <c r="A92" s="302" t="s">
        <v>430</v>
      </c>
      <c r="B92" s="36" t="s">
        <v>592</v>
      </c>
      <c r="C92" s="1">
        <v>164</v>
      </c>
      <c r="D92" s="44"/>
      <c r="E92" s="36" t="s">
        <v>264</v>
      </c>
      <c r="F92" s="1" t="s">
        <v>308</v>
      </c>
      <c r="G92" s="1">
        <v>1</v>
      </c>
      <c r="H92" s="36">
        <v>0.62</v>
      </c>
      <c r="I92" s="36"/>
      <c r="J92" s="36"/>
      <c r="K92" s="306">
        <v>10</v>
      </c>
      <c r="L92" s="36"/>
      <c r="M92" s="88" t="s">
        <v>234</v>
      </c>
      <c r="N92" s="18">
        <f>0.86*2</f>
        <v>1.72</v>
      </c>
      <c r="O92" s="47">
        <f>'PRECIOS INSUMOS 2015'!C$5</f>
        <v>2</v>
      </c>
      <c r="P92" s="18">
        <f t="shared" si="5"/>
        <v>3.44</v>
      </c>
      <c r="Q92" s="18">
        <f>G92/H92</f>
        <v>1.6129032258064517</v>
      </c>
      <c r="R92" s="308">
        <f t="shared" si="6"/>
        <v>129.03225806451613</v>
      </c>
      <c r="S92" s="306">
        <f t="shared" si="7"/>
        <v>132.47225806451613</v>
      </c>
    </row>
    <row r="93" spans="1:19" s="317" customFormat="1" x14ac:dyDescent="0.2">
      <c r="A93" s="302" t="s">
        <v>433</v>
      </c>
      <c r="B93" s="206" t="s">
        <v>263</v>
      </c>
      <c r="C93" s="207">
        <v>176</v>
      </c>
      <c r="D93" s="304"/>
      <c r="E93" s="206" t="s">
        <v>264</v>
      </c>
      <c r="F93" s="207" t="s">
        <v>308</v>
      </c>
      <c r="G93" s="207">
        <v>1</v>
      </c>
      <c r="H93" s="206"/>
      <c r="I93" s="206"/>
      <c r="J93" s="206"/>
      <c r="K93" s="209"/>
      <c r="L93" s="209">
        <v>10</v>
      </c>
      <c r="M93" s="296" t="s">
        <v>1365</v>
      </c>
      <c r="N93" s="209">
        <v>0.35</v>
      </c>
      <c r="O93" s="13">
        <v>18</v>
      </c>
      <c r="P93" s="18">
        <f t="shared" si="5"/>
        <v>6.3</v>
      </c>
      <c r="Q93" s="209"/>
      <c r="R93" s="308">
        <f t="shared" si="6"/>
        <v>0</v>
      </c>
      <c r="S93" s="306">
        <f t="shared" si="7"/>
        <v>6.3</v>
      </c>
    </row>
    <row r="94" spans="1:19" s="317" customFormat="1" x14ac:dyDescent="0.2">
      <c r="A94" s="302" t="s">
        <v>434</v>
      </c>
      <c r="B94" s="36" t="s">
        <v>592</v>
      </c>
      <c r="C94" s="1">
        <v>176</v>
      </c>
      <c r="D94" s="44"/>
      <c r="E94" s="36" t="s">
        <v>264</v>
      </c>
      <c r="F94" s="1" t="s">
        <v>308</v>
      </c>
      <c r="G94" s="1">
        <v>1</v>
      </c>
      <c r="H94" s="36">
        <v>0.62</v>
      </c>
      <c r="I94" s="36"/>
      <c r="J94" s="36"/>
      <c r="K94" s="306">
        <v>10</v>
      </c>
      <c r="L94" s="36"/>
      <c r="M94" s="88" t="s">
        <v>234</v>
      </c>
      <c r="N94" s="18">
        <f>0.86*2</f>
        <v>1.72</v>
      </c>
      <c r="O94" s="47">
        <f>'PRECIOS INSUMOS 2015'!C$5</f>
        <v>2</v>
      </c>
      <c r="P94" s="18">
        <f t="shared" si="5"/>
        <v>3.44</v>
      </c>
      <c r="Q94" s="18">
        <f>G94/H94</f>
        <v>1.6129032258064517</v>
      </c>
      <c r="R94" s="308">
        <f t="shared" si="6"/>
        <v>129.03225806451613</v>
      </c>
      <c r="S94" s="306">
        <f t="shared" si="7"/>
        <v>132.47225806451613</v>
      </c>
    </row>
    <row r="95" spans="1:19" s="317" customFormat="1" x14ac:dyDescent="0.2">
      <c r="A95" s="302" t="s">
        <v>435</v>
      </c>
      <c r="B95" s="206" t="s">
        <v>400</v>
      </c>
      <c r="C95" s="207">
        <v>180</v>
      </c>
      <c r="D95" s="304"/>
      <c r="E95" s="206" t="s">
        <v>266</v>
      </c>
      <c r="F95" s="207" t="s">
        <v>308</v>
      </c>
      <c r="G95" s="207">
        <v>1</v>
      </c>
      <c r="H95" s="206">
        <v>0.33</v>
      </c>
      <c r="I95" s="206"/>
      <c r="J95" s="206"/>
      <c r="K95" s="209"/>
      <c r="L95" s="209">
        <v>10</v>
      </c>
      <c r="M95" s="296"/>
      <c r="N95" s="209"/>
      <c r="O95" s="13"/>
      <c r="P95" s="18">
        <f t="shared" si="5"/>
        <v>0</v>
      </c>
      <c r="Q95" s="209">
        <f>G95/H95</f>
        <v>3.0303030303030303</v>
      </c>
      <c r="R95" s="308">
        <f t="shared" si="6"/>
        <v>242.42424242424244</v>
      </c>
      <c r="S95" s="306">
        <f t="shared" si="7"/>
        <v>242.42424242424244</v>
      </c>
    </row>
    <row r="96" spans="1:19" s="317" customFormat="1" x14ac:dyDescent="0.2">
      <c r="A96" s="302" t="s">
        <v>529</v>
      </c>
      <c r="B96" s="206" t="s">
        <v>263</v>
      </c>
      <c r="C96" s="207">
        <v>191</v>
      </c>
      <c r="D96" s="304"/>
      <c r="E96" s="206" t="s">
        <v>264</v>
      </c>
      <c r="F96" s="207" t="s">
        <v>308</v>
      </c>
      <c r="G96" s="207">
        <v>1</v>
      </c>
      <c r="H96" s="206"/>
      <c r="I96" s="206"/>
      <c r="J96" s="206"/>
      <c r="K96" s="209"/>
      <c r="L96" s="209">
        <v>10</v>
      </c>
      <c r="M96" s="296" t="s">
        <v>1367</v>
      </c>
      <c r="N96" s="209">
        <v>0.35</v>
      </c>
      <c r="O96" s="13">
        <v>18</v>
      </c>
      <c r="P96" s="18">
        <f t="shared" si="5"/>
        <v>6.3</v>
      </c>
      <c r="Q96" s="209"/>
      <c r="R96" s="308">
        <f t="shared" si="6"/>
        <v>0</v>
      </c>
      <c r="S96" s="306">
        <f t="shared" si="7"/>
        <v>6.3</v>
      </c>
    </row>
    <row r="97" spans="1:21" s="317" customFormat="1" x14ac:dyDescent="0.2">
      <c r="A97" s="302" t="s">
        <v>530</v>
      </c>
      <c r="B97" s="36" t="s">
        <v>592</v>
      </c>
      <c r="C97" s="1">
        <v>191</v>
      </c>
      <c r="D97" s="44"/>
      <c r="E97" s="36" t="s">
        <v>264</v>
      </c>
      <c r="F97" s="1" t="s">
        <v>308</v>
      </c>
      <c r="G97" s="1">
        <v>1</v>
      </c>
      <c r="H97" s="36">
        <v>0.62</v>
      </c>
      <c r="I97" s="36"/>
      <c r="J97" s="36"/>
      <c r="K97" s="18">
        <v>10</v>
      </c>
      <c r="L97" s="36"/>
      <c r="M97" s="88" t="s">
        <v>234</v>
      </c>
      <c r="N97" s="18">
        <f>0.86*2</f>
        <v>1.72</v>
      </c>
      <c r="O97" s="47">
        <f>'PRECIOS INSUMOS 2015'!C$5</f>
        <v>2</v>
      </c>
      <c r="P97" s="18">
        <f t="shared" si="5"/>
        <v>3.44</v>
      </c>
      <c r="Q97" s="18">
        <f>G97/H97</f>
        <v>1.6129032258064517</v>
      </c>
      <c r="R97" s="308">
        <f t="shared" si="6"/>
        <v>129.03225806451613</v>
      </c>
      <c r="S97" s="306">
        <f t="shared" si="7"/>
        <v>132.47225806451613</v>
      </c>
      <c r="T97" s="317">
        <v>367</v>
      </c>
    </row>
    <row r="98" spans="1:21" s="317" customFormat="1" x14ac:dyDescent="0.2">
      <c r="A98" s="302" t="s">
        <v>531</v>
      </c>
      <c r="B98" s="206" t="s">
        <v>263</v>
      </c>
      <c r="C98" s="207">
        <v>206</v>
      </c>
      <c r="D98" s="207"/>
      <c r="E98" s="206" t="s">
        <v>264</v>
      </c>
      <c r="F98" s="207" t="s">
        <v>308</v>
      </c>
      <c r="G98" s="207">
        <v>1</v>
      </c>
      <c r="H98" s="206"/>
      <c r="I98" s="206"/>
      <c r="J98" s="206"/>
      <c r="K98" s="209"/>
      <c r="L98" s="209">
        <v>10</v>
      </c>
      <c r="M98" s="296" t="s">
        <v>1367</v>
      </c>
      <c r="N98" s="209">
        <v>0.35</v>
      </c>
      <c r="O98" s="13">
        <v>18</v>
      </c>
      <c r="P98" s="18">
        <f t="shared" si="5"/>
        <v>6.3</v>
      </c>
      <c r="Q98" s="209"/>
      <c r="R98" s="308">
        <f t="shared" si="6"/>
        <v>0</v>
      </c>
      <c r="S98" s="306">
        <f t="shared" si="7"/>
        <v>6.3</v>
      </c>
      <c r="T98" s="317">
        <v>152</v>
      </c>
    </row>
    <row r="99" spans="1:21" s="317" customFormat="1" x14ac:dyDescent="0.2">
      <c r="A99" s="302" t="s">
        <v>532</v>
      </c>
      <c r="B99" s="36" t="s">
        <v>592</v>
      </c>
      <c r="C99" s="1">
        <v>206</v>
      </c>
      <c r="D99" s="44"/>
      <c r="E99" s="36" t="s">
        <v>264</v>
      </c>
      <c r="F99" s="1" t="s">
        <v>308</v>
      </c>
      <c r="G99" s="1">
        <v>1</v>
      </c>
      <c r="H99" s="36">
        <v>0.62</v>
      </c>
      <c r="I99" s="36"/>
      <c r="J99" s="36"/>
      <c r="K99" s="18">
        <v>10</v>
      </c>
      <c r="L99" s="36"/>
      <c r="M99" s="88" t="s">
        <v>234</v>
      </c>
      <c r="N99" s="18">
        <f>0.86*2</f>
        <v>1.72</v>
      </c>
      <c r="O99" s="47">
        <f>'PRECIOS INSUMOS 2015'!C$5</f>
        <v>2</v>
      </c>
      <c r="P99" s="18">
        <f t="shared" si="5"/>
        <v>3.44</v>
      </c>
      <c r="Q99" s="18">
        <f>G99/H99</f>
        <v>1.6129032258064517</v>
      </c>
      <c r="R99" s="308">
        <f t="shared" si="6"/>
        <v>129.03225806451613</v>
      </c>
      <c r="S99" s="306">
        <f t="shared" si="7"/>
        <v>132.47225806451613</v>
      </c>
      <c r="T99" s="317">
        <f>T97-T98</f>
        <v>215</v>
      </c>
      <c r="U99" s="317">
        <f>T99*40</f>
        <v>8600</v>
      </c>
    </row>
    <row r="100" spans="1:21" s="317" customFormat="1" x14ac:dyDescent="0.2">
      <c r="A100" s="302" t="s">
        <v>516</v>
      </c>
      <c r="B100" s="206" t="s">
        <v>263</v>
      </c>
      <c r="C100" s="207">
        <v>221</v>
      </c>
      <c r="D100" s="304"/>
      <c r="E100" s="206" t="s">
        <v>264</v>
      </c>
      <c r="F100" s="207" t="s">
        <v>308</v>
      </c>
      <c r="G100" s="207">
        <v>1</v>
      </c>
      <c r="H100" s="206"/>
      <c r="I100" s="206"/>
      <c r="J100" s="206"/>
      <c r="K100" s="209"/>
      <c r="L100" s="209">
        <v>10</v>
      </c>
      <c r="M100" s="296" t="s">
        <v>1367</v>
      </c>
      <c r="N100" s="209">
        <v>0.35</v>
      </c>
      <c r="O100" s="13">
        <v>18</v>
      </c>
      <c r="P100" s="18">
        <f t="shared" si="5"/>
        <v>6.3</v>
      </c>
      <c r="Q100" s="209"/>
      <c r="R100" s="308">
        <f t="shared" si="6"/>
        <v>0</v>
      </c>
      <c r="S100" s="306">
        <f t="shared" si="7"/>
        <v>6.3</v>
      </c>
    </row>
    <row r="101" spans="1:21" s="317" customFormat="1" x14ac:dyDescent="0.2">
      <c r="A101" s="302" t="s">
        <v>533</v>
      </c>
      <c r="B101" s="36" t="s">
        <v>592</v>
      </c>
      <c r="C101" s="1">
        <v>221</v>
      </c>
      <c r="D101" s="44"/>
      <c r="E101" s="36" t="s">
        <v>264</v>
      </c>
      <c r="F101" s="1" t="s">
        <v>308</v>
      </c>
      <c r="G101" s="1">
        <v>1</v>
      </c>
      <c r="H101" s="36">
        <v>0.62</v>
      </c>
      <c r="I101" s="36"/>
      <c r="J101" s="36"/>
      <c r="K101" s="18">
        <v>10</v>
      </c>
      <c r="L101" s="36"/>
      <c r="M101" s="88" t="s">
        <v>234</v>
      </c>
      <c r="N101" s="18">
        <f>0.86*2</f>
        <v>1.72</v>
      </c>
      <c r="O101" s="47">
        <f>'PRECIOS INSUMOS 2015'!C$5</f>
        <v>2</v>
      </c>
      <c r="P101" s="18">
        <f t="shared" si="5"/>
        <v>3.44</v>
      </c>
      <c r="Q101" s="18">
        <f>G101/H101</f>
        <v>1.6129032258064517</v>
      </c>
      <c r="R101" s="308">
        <f t="shared" si="6"/>
        <v>129.03225806451613</v>
      </c>
      <c r="S101" s="306">
        <f t="shared" si="7"/>
        <v>132.47225806451613</v>
      </c>
    </row>
    <row r="102" spans="1:21" s="317" customFormat="1" x14ac:dyDescent="0.2">
      <c r="A102" s="302" t="s">
        <v>497</v>
      </c>
      <c r="B102" s="206" t="s">
        <v>263</v>
      </c>
      <c r="C102" s="207">
        <v>233</v>
      </c>
      <c r="D102" s="304"/>
      <c r="E102" s="206" t="s">
        <v>264</v>
      </c>
      <c r="F102" s="207" t="s">
        <v>308</v>
      </c>
      <c r="G102" s="207">
        <v>1</v>
      </c>
      <c r="H102" s="206"/>
      <c r="I102" s="206"/>
      <c r="J102" s="206"/>
      <c r="K102" s="209"/>
      <c r="L102" s="209">
        <v>10</v>
      </c>
      <c r="M102" s="296" t="s">
        <v>1367</v>
      </c>
      <c r="N102" s="209">
        <v>0.35</v>
      </c>
      <c r="O102" s="13">
        <v>18</v>
      </c>
      <c r="P102" s="18">
        <f t="shared" si="5"/>
        <v>6.3</v>
      </c>
      <c r="Q102" s="209"/>
      <c r="R102" s="308">
        <f t="shared" si="6"/>
        <v>0</v>
      </c>
      <c r="S102" s="306">
        <f t="shared" si="7"/>
        <v>6.3</v>
      </c>
    </row>
    <row r="103" spans="1:21" s="317" customFormat="1" x14ac:dyDescent="0.2">
      <c r="A103" s="302" t="s">
        <v>517</v>
      </c>
      <c r="B103" s="36" t="s">
        <v>592</v>
      </c>
      <c r="C103" s="1">
        <v>233</v>
      </c>
      <c r="D103" s="44"/>
      <c r="E103" s="36" t="s">
        <v>264</v>
      </c>
      <c r="F103" s="1" t="s">
        <v>308</v>
      </c>
      <c r="G103" s="1">
        <v>1</v>
      </c>
      <c r="H103" s="36">
        <v>0.62</v>
      </c>
      <c r="I103" s="36"/>
      <c r="J103" s="36"/>
      <c r="K103" s="18">
        <v>10</v>
      </c>
      <c r="L103" s="36"/>
      <c r="M103" s="88" t="s">
        <v>234</v>
      </c>
      <c r="N103" s="18">
        <f>0.86*2</f>
        <v>1.72</v>
      </c>
      <c r="O103" s="47">
        <f>'PRECIOS INSUMOS 2015'!C$5</f>
        <v>2</v>
      </c>
      <c r="P103" s="18">
        <f t="shared" si="5"/>
        <v>3.44</v>
      </c>
      <c r="Q103" s="18">
        <f>G103/H103</f>
        <v>1.6129032258064517</v>
      </c>
      <c r="R103" s="308">
        <f t="shared" si="6"/>
        <v>129.03225806451613</v>
      </c>
      <c r="S103" s="306">
        <f t="shared" si="7"/>
        <v>132.47225806451613</v>
      </c>
    </row>
    <row r="104" spans="1:21" s="317" customFormat="1" x14ac:dyDescent="0.2">
      <c r="A104" s="302" t="s">
        <v>534</v>
      </c>
      <c r="B104" s="206" t="s">
        <v>263</v>
      </c>
      <c r="C104" s="207">
        <v>246</v>
      </c>
      <c r="D104" s="304"/>
      <c r="E104" s="206" t="s">
        <v>264</v>
      </c>
      <c r="F104" s="207" t="s">
        <v>308</v>
      </c>
      <c r="G104" s="207">
        <v>1</v>
      </c>
      <c r="H104" s="206"/>
      <c r="I104" s="206"/>
      <c r="J104" s="206"/>
      <c r="K104" s="209"/>
      <c r="L104" s="209">
        <v>10</v>
      </c>
      <c r="M104" s="296" t="s">
        <v>1367</v>
      </c>
      <c r="N104" s="209">
        <v>0.35</v>
      </c>
      <c r="O104" s="13">
        <v>18</v>
      </c>
      <c r="P104" s="18">
        <f t="shared" si="5"/>
        <v>6.3</v>
      </c>
      <c r="Q104" s="209"/>
      <c r="R104" s="308">
        <f t="shared" si="6"/>
        <v>0</v>
      </c>
      <c r="S104" s="306">
        <f t="shared" si="7"/>
        <v>6.3</v>
      </c>
    </row>
    <row r="105" spans="1:21" s="317" customFormat="1" x14ac:dyDescent="0.2">
      <c r="A105" s="302" t="s">
        <v>498</v>
      </c>
      <c r="B105" s="36" t="s">
        <v>592</v>
      </c>
      <c r="C105" s="1">
        <v>246</v>
      </c>
      <c r="D105" s="44"/>
      <c r="E105" s="36" t="s">
        <v>264</v>
      </c>
      <c r="F105" s="1" t="s">
        <v>308</v>
      </c>
      <c r="G105" s="1">
        <v>1</v>
      </c>
      <c r="H105" s="36">
        <v>0.62</v>
      </c>
      <c r="I105" s="36"/>
      <c r="J105" s="36"/>
      <c r="K105" s="18">
        <v>10</v>
      </c>
      <c r="L105" s="36"/>
      <c r="M105" s="88" t="s">
        <v>234</v>
      </c>
      <c r="N105" s="18">
        <f>0.86*2</f>
        <v>1.72</v>
      </c>
      <c r="O105" s="47">
        <f>'PRECIOS INSUMOS 2015'!C$5</f>
        <v>2</v>
      </c>
      <c r="P105" s="18">
        <f t="shared" ref="P105:P125" si="8">O105*N105</f>
        <v>3.44</v>
      </c>
      <c r="Q105" s="18">
        <f>G105/H105</f>
        <v>1.6129032258064517</v>
      </c>
      <c r="R105" s="308">
        <f t="shared" si="6"/>
        <v>129.03225806451613</v>
      </c>
      <c r="S105" s="306">
        <f t="shared" si="7"/>
        <v>132.47225806451613</v>
      </c>
    </row>
    <row r="106" spans="1:21" s="317" customFormat="1" x14ac:dyDescent="0.2">
      <c r="A106" s="302" t="s">
        <v>535</v>
      </c>
      <c r="B106" s="206" t="s">
        <v>263</v>
      </c>
      <c r="C106" s="207">
        <v>260</v>
      </c>
      <c r="D106" s="207"/>
      <c r="E106" s="206" t="s">
        <v>264</v>
      </c>
      <c r="F106" s="207" t="s">
        <v>308</v>
      </c>
      <c r="G106" s="207">
        <v>1</v>
      </c>
      <c r="H106" s="206"/>
      <c r="I106" s="206"/>
      <c r="J106" s="206"/>
      <c r="K106" s="209"/>
      <c r="L106" s="209">
        <v>10</v>
      </c>
      <c r="M106" s="296" t="s">
        <v>1367</v>
      </c>
      <c r="N106" s="209">
        <v>0.35</v>
      </c>
      <c r="O106" s="13">
        <v>18</v>
      </c>
      <c r="P106" s="18">
        <f t="shared" si="8"/>
        <v>6.3</v>
      </c>
      <c r="Q106" s="209"/>
      <c r="R106" s="308">
        <f t="shared" si="6"/>
        <v>0</v>
      </c>
      <c r="S106" s="306">
        <f t="shared" si="7"/>
        <v>6.3</v>
      </c>
    </row>
    <row r="107" spans="1:21" s="317" customFormat="1" x14ac:dyDescent="0.2">
      <c r="A107" s="302" t="s">
        <v>536</v>
      </c>
      <c r="B107" s="36" t="s">
        <v>592</v>
      </c>
      <c r="C107" s="1">
        <v>260</v>
      </c>
      <c r="D107" s="44"/>
      <c r="E107" s="36" t="s">
        <v>264</v>
      </c>
      <c r="F107" s="1" t="s">
        <v>308</v>
      </c>
      <c r="G107" s="1">
        <v>1</v>
      </c>
      <c r="H107" s="36">
        <v>0.62</v>
      </c>
      <c r="I107" s="36"/>
      <c r="J107" s="36"/>
      <c r="K107" s="18">
        <v>10</v>
      </c>
      <c r="L107" s="36"/>
      <c r="M107" s="88" t="s">
        <v>234</v>
      </c>
      <c r="N107" s="18">
        <f>0.86*2</f>
        <v>1.72</v>
      </c>
      <c r="O107" s="47">
        <f>'PRECIOS INSUMOS 2015'!C$5</f>
        <v>2</v>
      </c>
      <c r="P107" s="18">
        <f t="shared" si="8"/>
        <v>3.44</v>
      </c>
      <c r="Q107" s="18">
        <f>G107/H107</f>
        <v>1.6129032258064517</v>
      </c>
      <c r="R107" s="308">
        <f t="shared" si="6"/>
        <v>129.03225806451613</v>
      </c>
      <c r="S107" s="306">
        <f t="shared" si="7"/>
        <v>132.47225806451613</v>
      </c>
    </row>
    <row r="108" spans="1:21" s="317" customFormat="1" x14ac:dyDescent="0.2">
      <c r="A108" s="302" t="s">
        <v>518</v>
      </c>
      <c r="B108" s="206" t="s">
        <v>263</v>
      </c>
      <c r="C108" s="207">
        <v>275</v>
      </c>
      <c r="D108" s="304"/>
      <c r="E108" s="206" t="s">
        <v>264</v>
      </c>
      <c r="F108" s="207" t="s">
        <v>308</v>
      </c>
      <c r="G108" s="207">
        <v>1</v>
      </c>
      <c r="H108" s="206"/>
      <c r="I108" s="206"/>
      <c r="J108" s="206"/>
      <c r="K108" s="209"/>
      <c r="L108" s="209">
        <v>10</v>
      </c>
      <c r="M108" s="296" t="s">
        <v>1367</v>
      </c>
      <c r="N108" s="209">
        <v>0.35</v>
      </c>
      <c r="O108" s="13">
        <v>18</v>
      </c>
      <c r="P108" s="18">
        <f t="shared" si="8"/>
        <v>6.3</v>
      </c>
      <c r="Q108" s="209"/>
      <c r="R108" s="308">
        <f t="shared" si="6"/>
        <v>0</v>
      </c>
      <c r="S108" s="306">
        <f t="shared" si="7"/>
        <v>6.3</v>
      </c>
    </row>
    <row r="109" spans="1:21" s="317" customFormat="1" x14ac:dyDescent="0.2">
      <c r="A109" s="302" t="s">
        <v>537</v>
      </c>
      <c r="B109" s="36" t="s">
        <v>592</v>
      </c>
      <c r="C109" s="1">
        <v>275</v>
      </c>
      <c r="D109" s="44"/>
      <c r="E109" s="36" t="s">
        <v>264</v>
      </c>
      <c r="F109" s="1" t="s">
        <v>308</v>
      </c>
      <c r="G109" s="1">
        <v>1</v>
      </c>
      <c r="H109" s="36">
        <v>0.62</v>
      </c>
      <c r="I109" s="36"/>
      <c r="J109" s="36"/>
      <c r="K109" s="18">
        <v>10</v>
      </c>
      <c r="L109" s="36"/>
      <c r="M109" s="88" t="s">
        <v>234</v>
      </c>
      <c r="N109" s="18">
        <f>0.86*2</f>
        <v>1.72</v>
      </c>
      <c r="O109" s="47">
        <f>'PRECIOS INSUMOS 2015'!C$5</f>
        <v>2</v>
      </c>
      <c r="P109" s="18">
        <f t="shared" si="8"/>
        <v>3.44</v>
      </c>
      <c r="Q109" s="18">
        <f>G109/H109</f>
        <v>1.6129032258064517</v>
      </c>
      <c r="R109" s="308">
        <f t="shared" si="6"/>
        <v>129.03225806451613</v>
      </c>
      <c r="S109" s="306">
        <f t="shared" si="7"/>
        <v>132.47225806451613</v>
      </c>
    </row>
    <row r="110" spans="1:21" s="317" customFormat="1" x14ac:dyDescent="0.2">
      <c r="A110" s="302" t="s">
        <v>499</v>
      </c>
      <c r="B110" s="206" t="s">
        <v>263</v>
      </c>
      <c r="C110" s="207">
        <v>287</v>
      </c>
      <c r="D110" s="304"/>
      <c r="E110" s="206" t="s">
        <v>264</v>
      </c>
      <c r="F110" s="207" t="s">
        <v>308</v>
      </c>
      <c r="G110" s="207">
        <v>1</v>
      </c>
      <c r="H110" s="206"/>
      <c r="I110" s="206"/>
      <c r="J110" s="206"/>
      <c r="K110" s="209"/>
      <c r="L110" s="209">
        <v>10</v>
      </c>
      <c r="M110" s="296" t="s">
        <v>1367</v>
      </c>
      <c r="N110" s="209">
        <v>0.35</v>
      </c>
      <c r="O110" s="13">
        <v>18</v>
      </c>
      <c r="P110" s="18">
        <f t="shared" si="8"/>
        <v>6.3</v>
      </c>
      <c r="Q110" s="209"/>
      <c r="R110" s="308">
        <f t="shared" si="6"/>
        <v>0</v>
      </c>
      <c r="S110" s="306">
        <f t="shared" si="7"/>
        <v>6.3</v>
      </c>
    </row>
    <row r="111" spans="1:21" s="317" customFormat="1" x14ac:dyDescent="0.2">
      <c r="A111" s="302" t="s">
        <v>519</v>
      </c>
      <c r="B111" s="36" t="s">
        <v>592</v>
      </c>
      <c r="C111" s="1">
        <v>287</v>
      </c>
      <c r="D111" s="1"/>
      <c r="E111" s="36" t="s">
        <v>264</v>
      </c>
      <c r="F111" s="1" t="s">
        <v>308</v>
      </c>
      <c r="G111" s="1">
        <v>1</v>
      </c>
      <c r="H111" s="36">
        <v>0.62</v>
      </c>
      <c r="I111" s="36"/>
      <c r="J111" s="36"/>
      <c r="K111" s="18">
        <v>10</v>
      </c>
      <c r="L111" s="36"/>
      <c r="M111" s="88" t="s">
        <v>234</v>
      </c>
      <c r="N111" s="18">
        <f>0.86*2</f>
        <v>1.72</v>
      </c>
      <c r="O111" s="47">
        <f>'PRECIOS INSUMOS 2015'!C$5</f>
        <v>2</v>
      </c>
      <c r="P111" s="18">
        <f t="shared" si="8"/>
        <v>3.44</v>
      </c>
      <c r="Q111" s="18">
        <f>G111/H111</f>
        <v>1.6129032258064517</v>
      </c>
      <c r="R111" s="308">
        <f t="shared" si="6"/>
        <v>129.03225806451613</v>
      </c>
      <c r="S111" s="306">
        <f t="shared" si="7"/>
        <v>132.47225806451613</v>
      </c>
    </row>
    <row r="112" spans="1:21" s="317" customFormat="1" x14ac:dyDescent="0.2">
      <c r="A112" s="302" t="s">
        <v>500</v>
      </c>
      <c r="B112" s="206" t="s">
        <v>263</v>
      </c>
      <c r="C112" s="207">
        <v>299</v>
      </c>
      <c r="D112" s="304"/>
      <c r="E112" s="206" t="s">
        <v>264</v>
      </c>
      <c r="F112" s="207" t="s">
        <v>308</v>
      </c>
      <c r="G112" s="207">
        <v>1</v>
      </c>
      <c r="H112" s="206"/>
      <c r="I112" s="206"/>
      <c r="J112" s="206"/>
      <c r="K112" s="209"/>
      <c r="L112" s="209">
        <v>10</v>
      </c>
      <c r="M112" s="296" t="s">
        <v>1367</v>
      </c>
      <c r="N112" s="209">
        <v>0.35</v>
      </c>
      <c r="O112" s="13">
        <v>18</v>
      </c>
      <c r="P112" s="18">
        <f t="shared" si="8"/>
        <v>6.3</v>
      </c>
      <c r="Q112" s="209"/>
      <c r="R112" s="308">
        <f t="shared" si="6"/>
        <v>0</v>
      </c>
      <c r="S112" s="306">
        <f t="shared" si="7"/>
        <v>6.3</v>
      </c>
    </row>
    <row r="113" spans="1:20" s="317" customFormat="1" x14ac:dyDescent="0.2">
      <c r="A113" s="302" t="s">
        <v>501</v>
      </c>
      <c r="B113" s="36" t="s">
        <v>592</v>
      </c>
      <c r="C113" s="1">
        <v>299</v>
      </c>
      <c r="D113" s="44"/>
      <c r="E113" s="36" t="s">
        <v>264</v>
      </c>
      <c r="F113" s="1" t="s">
        <v>308</v>
      </c>
      <c r="G113" s="1">
        <v>1</v>
      </c>
      <c r="H113" s="36">
        <v>0.62</v>
      </c>
      <c r="I113" s="36"/>
      <c r="J113" s="36"/>
      <c r="K113" s="18">
        <v>10</v>
      </c>
      <c r="L113" s="36"/>
      <c r="M113" s="88" t="s">
        <v>234</v>
      </c>
      <c r="N113" s="18">
        <f>0.86*2</f>
        <v>1.72</v>
      </c>
      <c r="O113" s="47">
        <f>'PRECIOS INSUMOS 2015'!C$5</f>
        <v>2</v>
      </c>
      <c r="P113" s="18">
        <f t="shared" si="8"/>
        <v>3.44</v>
      </c>
      <c r="Q113" s="18">
        <f>G113/H113</f>
        <v>1.6129032258064517</v>
      </c>
      <c r="R113" s="308">
        <f t="shared" si="6"/>
        <v>129.03225806451613</v>
      </c>
      <c r="S113" s="306">
        <f t="shared" si="7"/>
        <v>132.47225806451613</v>
      </c>
    </row>
    <row r="114" spans="1:20" s="317" customFormat="1" x14ac:dyDescent="0.2">
      <c r="A114" s="302" t="s">
        <v>502</v>
      </c>
      <c r="B114" s="206" t="s">
        <v>263</v>
      </c>
      <c r="C114" s="207">
        <v>311</v>
      </c>
      <c r="D114" s="304"/>
      <c r="E114" s="206" t="s">
        <v>264</v>
      </c>
      <c r="F114" s="207" t="s">
        <v>308</v>
      </c>
      <c r="G114" s="207">
        <v>1</v>
      </c>
      <c r="H114" s="206"/>
      <c r="I114" s="206"/>
      <c r="J114" s="206"/>
      <c r="K114" s="209"/>
      <c r="L114" s="209">
        <v>10</v>
      </c>
      <c r="M114" s="296" t="s">
        <v>1367</v>
      </c>
      <c r="N114" s="209">
        <v>0.35</v>
      </c>
      <c r="O114" s="13">
        <v>18</v>
      </c>
      <c r="P114" s="18">
        <f t="shared" si="8"/>
        <v>6.3</v>
      </c>
      <c r="Q114" s="209"/>
      <c r="R114" s="308">
        <f t="shared" si="6"/>
        <v>0</v>
      </c>
      <c r="S114" s="306">
        <f t="shared" si="7"/>
        <v>6.3</v>
      </c>
    </row>
    <row r="115" spans="1:20" s="317" customFormat="1" x14ac:dyDescent="0.2">
      <c r="A115" s="302" t="s">
        <v>503</v>
      </c>
      <c r="B115" s="36" t="s">
        <v>592</v>
      </c>
      <c r="C115" s="1">
        <v>311</v>
      </c>
      <c r="D115" s="44"/>
      <c r="E115" s="36" t="s">
        <v>264</v>
      </c>
      <c r="F115" s="1" t="s">
        <v>308</v>
      </c>
      <c r="G115" s="1">
        <v>1</v>
      </c>
      <c r="H115" s="36">
        <v>0.62</v>
      </c>
      <c r="I115" s="36"/>
      <c r="J115" s="36"/>
      <c r="K115" s="18">
        <v>10</v>
      </c>
      <c r="L115" s="36"/>
      <c r="M115" s="88" t="s">
        <v>234</v>
      </c>
      <c r="N115" s="18">
        <f>0.86*2</f>
        <v>1.72</v>
      </c>
      <c r="O115" s="47">
        <f>'PRECIOS INSUMOS 2015'!C$5</f>
        <v>2</v>
      </c>
      <c r="P115" s="18">
        <f t="shared" si="8"/>
        <v>3.44</v>
      </c>
      <c r="Q115" s="18">
        <f>G115/H115</f>
        <v>1.6129032258064517</v>
      </c>
      <c r="R115" s="308">
        <f t="shared" si="6"/>
        <v>129.03225806451613</v>
      </c>
      <c r="S115" s="306">
        <f t="shared" si="7"/>
        <v>132.47225806451613</v>
      </c>
    </row>
    <row r="116" spans="1:20" s="317" customFormat="1" x14ac:dyDescent="0.2">
      <c r="A116" s="302" t="s">
        <v>520</v>
      </c>
      <c r="B116" s="206" t="s">
        <v>263</v>
      </c>
      <c r="C116" s="207">
        <v>325</v>
      </c>
      <c r="D116" s="304"/>
      <c r="E116" s="206" t="s">
        <v>264</v>
      </c>
      <c r="F116" s="207" t="s">
        <v>308</v>
      </c>
      <c r="G116" s="207">
        <v>1</v>
      </c>
      <c r="H116" s="206"/>
      <c r="I116" s="206"/>
      <c r="J116" s="206"/>
      <c r="K116" s="209"/>
      <c r="L116" s="209">
        <v>10</v>
      </c>
      <c r="M116" s="296" t="s">
        <v>1367</v>
      </c>
      <c r="N116" s="209">
        <v>0.35</v>
      </c>
      <c r="O116" s="13">
        <v>18</v>
      </c>
      <c r="P116" s="18">
        <f t="shared" si="8"/>
        <v>6.3</v>
      </c>
      <c r="Q116" s="209"/>
      <c r="R116" s="308">
        <f t="shared" si="6"/>
        <v>0</v>
      </c>
      <c r="S116" s="306">
        <f t="shared" si="7"/>
        <v>6.3</v>
      </c>
    </row>
    <row r="117" spans="1:20" x14ac:dyDescent="0.2">
      <c r="A117" s="302" t="s">
        <v>538</v>
      </c>
      <c r="B117" s="36" t="s">
        <v>592</v>
      </c>
      <c r="C117" s="1">
        <v>325</v>
      </c>
      <c r="D117" s="44"/>
      <c r="E117" s="36" t="s">
        <v>264</v>
      </c>
      <c r="F117" s="1" t="s">
        <v>308</v>
      </c>
      <c r="G117" s="1">
        <v>1</v>
      </c>
      <c r="H117" s="36">
        <v>0.62</v>
      </c>
      <c r="I117" s="36"/>
      <c r="J117" s="36"/>
      <c r="K117" s="18">
        <v>10</v>
      </c>
      <c r="L117" s="36"/>
      <c r="M117" s="88" t="s">
        <v>234</v>
      </c>
      <c r="N117" s="18">
        <f>0.86*2</f>
        <v>1.72</v>
      </c>
      <c r="O117" s="47">
        <f>'PRECIOS INSUMOS 2015'!C$5</f>
        <v>2</v>
      </c>
      <c r="P117" s="18">
        <f t="shared" si="8"/>
        <v>3.44</v>
      </c>
      <c r="Q117" s="18">
        <f>G117/H117</f>
        <v>1.6129032258064517</v>
      </c>
      <c r="R117" s="308">
        <f t="shared" si="6"/>
        <v>129.03225806451613</v>
      </c>
      <c r="S117" s="306">
        <f t="shared" si="7"/>
        <v>132.47225806451613</v>
      </c>
    </row>
    <row r="118" spans="1:20" x14ac:dyDescent="0.2">
      <c r="A118" s="302" t="s">
        <v>539</v>
      </c>
      <c r="B118" s="211" t="s">
        <v>394</v>
      </c>
      <c r="C118" s="207">
        <v>327</v>
      </c>
      <c r="D118" s="304" t="s">
        <v>454</v>
      </c>
      <c r="E118" s="206" t="s">
        <v>303</v>
      </c>
      <c r="F118" s="207" t="s">
        <v>308</v>
      </c>
      <c r="G118" s="207">
        <v>1</v>
      </c>
      <c r="H118" s="206">
        <v>0.5</v>
      </c>
      <c r="I118" s="206"/>
      <c r="J118" s="206"/>
      <c r="K118" s="18">
        <v>10</v>
      </c>
      <c r="L118" s="209"/>
      <c r="M118" s="296" t="s">
        <v>234</v>
      </c>
      <c r="N118" s="209">
        <v>3.43</v>
      </c>
      <c r="O118" s="47">
        <f>'PRECIOS INSUMOS 2015'!C$5</f>
        <v>2</v>
      </c>
      <c r="P118" s="18">
        <f t="shared" si="8"/>
        <v>6.86</v>
      </c>
      <c r="Q118" s="209"/>
      <c r="R118" s="308">
        <f t="shared" si="6"/>
        <v>0</v>
      </c>
      <c r="S118" s="306">
        <f t="shared" si="7"/>
        <v>6.86</v>
      </c>
    </row>
    <row r="119" spans="1:20" x14ac:dyDescent="0.2">
      <c r="A119" s="302" t="s">
        <v>504</v>
      </c>
      <c r="B119" s="211" t="s">
        <v>394</v>
      </c>
      <c r="C119" s="207">
        <v>327</v>
      </c>
      <c r="D119" s="304"/>
      <c r="E119" s="206"/>
      <c r="F119" s="207"/>
      <c r="G119" s="207"/>
      <c r="H119" s="206"/>
      <c r="I119" s="206"/>
      <c r="J119" s="206"/>
      <c r="K119" s="209"/>
      <c r="L119" s="209">
        <v>10</v>
      </c>
      <c r="M119" s="296" t="s">
        <v>570</v>
      </c>
      <c r="N119" s="209">
        <v>4</v>
      </c>
      <c r="O119" s="13">
        <f>'PRECIOS INSUMOS 2015'!C100</f>
        <v>15</v>
      </c>
      <c r="P119" s="18">
        <f t="shared" si="8"/>
        <v>60</v>
      </c>
      <c r="Q119" s="209"/>
      <c r="R119" s="308">
        <f t="shared" si="6"/>
        <v>0</v>
      </c>
      <c r="S119" s="306">
        <f t="shared" si="7"/>
        <v>60</v>
      </c>
    </row>
    <row r="120" spans="1:20" x14ac:dyDescent="0.2">
      <c r="A120" s="302" t="s">
        <v>540</v>
      </c>
      <c r="B120" s="206" t="s">
        <v>263</v>
      </c>
      <c r="C120" s="207">
        <v>342</v>
      </c>
      <c r="D120" s="304"/>
      <c r="E120" s="206" t="s">
        <v>264</v>
      </c>
      <c r="F120" s="207" t="s">
        <v>308</v>
      </c>
      <c r="G120" s="207">
        <v>1</v>
      </c>
      <c r="H120" s="206"/>
      <c r="I120" s="206"/>
      <c r="J120" s="206"/>
      <c r="K120" s="209"/>
      <c r="L120" s="209">
        <v>10</v>
      </c>
      <c r="M120" s="296" t="s">
        <v>1367</v>
      </c>
      <c r="N120" s="209">
        <v>0.35</v>
      </c>
      <c r="O120" s="13">
        <v>18</v>
      </c>
      <c r="P120" s="18">
        <f t="shared" si="8"/>
        <v>6.3</v>
      </c>
      <c r="Q120" s="209"/>
      <c r="R120" s="308">
        <f t="shared" si="6"/>
        <v>0</v>
      </c>
      <c r="S120" s="306">
        <f t="shared" si="7"/>
        <v>6.3</v>
      </c>
    </row>
    <row r="121" spans="1:20" x14ac:dyDescent="0.2">
      <c r="A121" s="302" t="s">
        <v>521</v>
      </c>
      <c r="B121" s="36" t="s">
        <v>592</v>
      </c>
      <c r="C121" s="1">
        <v>342</v>
      </c>
      <c r="D121" s="44"/>
      <c r="E121" s="36" t="s">
        <v>264</v>
      </c>
      <c r="F121" s="1" t="s">
        <v>308</v>
      </c>
      <c r="G121" s="1">
        <v>1</v>
      </c>
      <c r="H121" s="36">
        <v>0.62</v>
      </c>
      <c r="I121" s="36"/>
      <c r="J121" s="36"/>
      <c r="K121" s="18">
        <v>10</v>
      </c>
      <c r="L121" s="36"/>
      <c r="M121" s="88" t="s">
        <v>234</v>
      </c>
      <c r="N121" s="18">
        <f>0.86*2</f>
        <v>1.72</v>
      </c>
      <c r="O121" s="47">
        <f>'PRECIOS INSUMOS 2015'!C$5</f>
        <v>2</v>
      </c>
      <c r="P121" s="18">
        <f t="shared" si="8"/>
        <v>3.44</v>
      </c>
      <c r="Q121" s="18">
        <f t="shared" ref="Q121:Q126" si="9">G121/H121</f>
        <v>1.6129032258064517</v>
      </c>
      <c r="R121" s="308">
        <f t="shared" si="6"/>
        <v>129.03225806451613</v>
      </c>
      <c r="S121" s="306">
        <f t="shared" si="7"/>
        <v>132.47225806451613</v>
      </c>
    </row>
    <row r="122" spans="1:20" ht="13.5" thickBot="1" x14ac:dyDescent="0.25">
      <c r="A122" s="242" t="s">
        <v>542</v>
      </c>
      <c r="B122" s="381" t="s">
        <v>276</v>
      </c>
      <c r="C122" s="244">
        <v>365</v>
      </c>
      <c r="D122" s="244" t="s">
        <v>257</v>
      </c>
      <c r="E122" s="381" t="s">
        <v>262</v>
      </c>
      <c r="F122" s="244" t="s">
        <v>308</v>
      </c>
      <c r="G122" s="244">
        <v>1</v>
      </c>
      <c r="H122" s="381">
        <v>2</v>
      </c>
      <c r="I122" s="381"/>
      <c r="J122" s="381"/>
      <c r="K122" s="18">
        <v>10</v>
      </c>
      <c r="L122" s="247"/>
      <c r="M122" s="384" t="s">
        <v>234</v>
      </c>
      <c r="N122" s="247">
        <f>151.24/13.42</f>
        <v>11.269746646795827</v>
      </c>
      <c r="O122" s="47">
        <f>'PRECIOS INSUMOS 2015'!C$5</f>
        <v>2</v>
      </c>
      <c r="P122" s="59">
        <f t="shared" si="8"/>
        <v>22.539493293591654</v>
      </c>
      <c r="Q122" s="247">
        <f t="shared" si="9"/>
        <v>0.5</v>
      </c>
      <c r="R122" s="257">
        <f t="shared" si="6"/>
        <v>40</v>
      </c>
      <c r="S122" s="306">
        <f t="shared" si="7"/>
        <v>62.539493293591654</v>
      </c>
    </row>
    <row r="123" spans="1:20" x14ac:dyDescent="0.2">
      <c r="A123" s="302" t="s">
        <v>541</v>
      </c>
      <c r="B123" s="206" t="s">
        <v>431</v>
      </c>
      <c r="C123" s="207">
        <v>365</v>
      </c>
      <c r="D123" s="304" t="s">
        <v>257</v>
      </c>
      <c r="E123" s="206" t="s">
        <v>432</v>
      </c>
      <c r="F123" s="207" t="s">
        <v>437</v>
      </c>
      <c r="G123" s="207">
        <v>24</v>
      </c>
      <c r="H123" s="206">
        <v>50</v>
      </c>
      <c r="I123" s="206"/>
      <c r="J123" s="206"/>
      <c r="K123" s="18">
        <v>10</v>
      </c>
      <c r="L123" s="209"/>
      <c r="M123" s="88" t="s">
        <v>234</v>
      </c>
      <c r="N123" s="209">
        <f>0.86*24</f>
        <v>20.64</v>
      </c>
      <c r="O123" s="47">
        <f>'PRECIOS INSUMOS 2015'!C$5</f>
        <v>2</v>
      </c>
      <c r="P123" s="18">
        <f>O123*N123</f>
        <v>41.28</v>
      </c>
      <c r="Q123" s="209">
        <f>G123/H123</f>
        <v>0.48</v>
      </c>
      <c r="R123" s="308">
        <f>(K123+L123)*Q123*8</f>
        <v>38.4</v>
      </c>
      <c r="S123" s="306">
        <f t="shared" si="7"/>
        <v>79.680000000000007</v>
      </c>
    </row>
    <row r="124" spans="1:20" x14ac:dyDescent="0.2">
      <c r="A124" s="302" t="s">
        <v>543</v>
      </c>
      <c r="B124" s="206" t="s">
        <v>276</v>
      </c>
      <c r="C124" s="207">
        <v>365</v>
      </c>
      <c r="D124" s="304"/>
      <c r="E124" s="206" t="s">
        <v>266</v>
      </c>
      <c r="F124" s="207" t="s">
        <v>437</v>
      </c>
      <c r="G124" s="207">
        <v>22</v>
      </c>
      <c r="H124" s="206">
        <v>0.6</v>
      </c>
      <c r="I124" s="206"/>
      <c r="J124" s="206"/>
      <c r="K124" s="209"/>
      <c r="L124" s="209">
        <v>10</v>
      </c>
      <c r="M124" s="88"/>
      <c r="N124" s="209"/>
      <c r="O124" s="13"/>
      <c r="P124" s="18">
        <f t="shared" si="8"/>
        <v>0</v>
      </c>
      <c r="Q124" s="209">
        <f t="shared" si="9"/>
        <v>36.666666666666671</v>
      </c>
      <c r="R124" s="308">
        <f t="shared" si="6"/>
        <v>2933.3333333333339</v>
      </c>
      <c r="S124" s="306">
        <f t="shared" si="7"/>
        <v>2933.3333333333339</v>
      </c>
    </row>
    <row r="125" spans="1:20" x14ac:dyDescent="0.2">
      <c r="A125" s="302" t="s">
        <v>505</v>
      </c>
      <c r="B125" s="206" t="s">
        <v>307</v>
      </c>
      <c r="C125" s="207">
        <v>367</v>
      </c>
      <c r="D125" s="304" t="s">
        <v>257</v>
      </c>
      <c r="E125" s="206" t="s">
        <v>330</v>
      </c>
      <c r="F125" s="207" t="s">
        <v>308</v>
      </c>
      <c r="G125" s="207">
        <v>1</v>
      </c>
      <c r="H125" s="206">
        <v>2</v>
      </c>
      <c r="I125" s="206"/>
      <c r="J125" s="206"/>
      <c r="K125" s="18">
        <v>10</v>
      </c>
      <c r="L125" s="209"/>
      <c r="M125" s="1009" t="s">
        <v>234</v>
      </c>
      <c r="N125" s="219">
        <v>11.27</v>
      </c>
      <c r="O125" s="108">
        <f>'PRECIOS INSUMOS 2015'!C$5</f>
        <v>2</v>
      </c>
      <c r="P125" s="18">
        <f t="shared" si="8"/>
        <v>22.54</v>
      </c>
      <c r="Q125" s="209">
        <f t="shared" si="9"/>
        <v>0.5</v>
      </c>
      <c r="R125" s="308">
        <f t="shared" si="6"/>
        <v>40</v>
      </c>
      <c r="S125" s="306">
        <f t="shared" si="7"/>
        <v>62.54</v>
      </c>
    </row>
    <row r="126" spans="1:20" ht="13.5" thickBot="1" x14ac:dyDescent="0.25">
      <c r="A126" s="302" t="s">
        <v>544</v>
      </c>
      <c r="B126" s="206" t="s">
        <v>307</v>
      </c>
      <c r="C126" s="207">
        <v>368</v>
      </c>
      <c r="D126" s="304"/>
      <c r="E126" s="206"/>
      <c r="F126" s="207" t="s">
        <v>437</v>
      </c>
      <c r="G126" s="207">
        <v>2</v>
      </c>
      <c r="H126" s="206">
        <v>0.2</v>
      </c>
      <c r="I126" s="206"/>
      <c r="J126" s="206"/>
      <c r="K126" s="209"/>
      <c r="L126" s="209">
        <v>10</v>
      </c>
      <c r="M126" s="296"/>
      <c r="N126" s="209"/>
      <c r="O126" s="13"/>
      <c r="P126" s="267"/>
      <c r="Q126" s="264">
        <f t="shared" si="9"/>
        <v>10</v>
      </c>
      <c r="R126" s="308">
        <f t="shared" si="6"/>
        <v>800</v>
      </c>
      <c r="S126" s="306">
        <f t="shared" si="7"/>
        <v>800</v>
      </c>
    </row>
    <row r="127" spans="1:20" ht="13.5" thickBot="1" x14ac:dyDescent="0.25">
      <c r="A127" s="2149" t="s">
        <v>455</v>
      </c>
      <c r="B127" s="2150"/>
      <c r="C127" s="2150"/>
      <c r="D127" s="2150"/>
      <c r="E127" s="2151"/>
      <c r="F127" s="2151"/>
      <c r="G127" s="2151"/>
      <c r="H127" s="339"/>
      <c r="I127" s="339"/>
      <c r="J127" s="339"/>
      <c r="K127" s="340"/>
      <c r="L127" s="340"/>
      <c r="M127" s="1010"/>
      <c r="N127" s="1011">
        <f>53*38</f>
        <v>2014</v>
      </c>
      <c r="O127" s="108">
        <v>0.17</v>
      </c>
      <c r="P127" s="361">
        <f>N127*O127</f>
        <v>342.38000000000005</v>
      </c>
      <c r="Q127" s="362"/>
      <c r="R127" s="255"/>
      <c r="S127" s="306">
        <f t="shared" si="7"/>
        <v>342.38000000000005</v>
      </c>
      <c r="T127" s="249"/>
    </row>
    <row r="128" spans="1:20" ht="13.5" thickBot="1" x14ac:dyDescent="0.25">
      <c r="A128" s="2152" t="s">
        <v>219</v>
      </c>
      <c r="B128" s="2153"/>
      <c r="C128" s="16"/>
      <c r="D128" s="342"/>
      <c r="E128" s="342"/>
      <c r="F128" s="342"/>
      <c r="G128" s="342">
        <v>1</v>
      </c>
      <c r="H128" s="343"/>
      <c r="I128" s="343"/>
      <c r="J128" s="343"/>
      <c r="K128" s="18">
        <v>10</v>
      </c>
      <c r="L128" s="209">
        <v>10</v>
      </c>
      <c r="M128" s="237"/>
      <c r="N128" s="209"/>
      <c r="O128" s="226"/>
      <c r="P128" s="19">
        <f>SUM(P9:P127)</f>
        <v>13020.376897168399</v>
      </c>
      <c r="Q128" s="19">
        <f>SUM(Q9:Q127)</f>
        <v>191.43726362749146</v>
      </c>
      <c r="R128" s="345">
        <f>Q128*40</f>
        <v>7657.4905450996584</v>
      </c>
      <c r="S128" s="306">
        <f t="shared" si="7"/>
        <v>20677.867442268056</v>
      </c>
      <c r="T128" s="249"/>
    </row>
    <row r="129" spans="1:20" ht="12.75" customHeight="1" thickBot="1" x14ac:dyDescent="0.25">
      <c r="A129" s="364"/>
      <c r="B129" s="340"/>
      <c r="C129" s="340"/>
      <c r="D129" s="365"/>
      <c r="E129" s="365"/>
      <c r="F129" s="365"/>
      <c r="G129" s="366"/>
      <c r="H129" s="367"/>
      <c r="I129" s="367"/>
      <c r="J129" s="367"/>
      <c r="K129" s="362"/>
      <c r="L129" s="362"/>
      <c r="M129" s="259"/>
      <c r="N129" s="266"/>
      <c r="O129" s="266"/>
      <c r="P129" s="368"/>
      <c r="Q129" s="362"/>
      <c r="R129" s="369" t="e">
        <f>R127+#REF!</f>
        <v>#REF!</v>
      </c>
      <c r="S129" s="370"/>
    </row>
    <row r="130" spans="1:20" ht="12.75" customHeight="1" x14ac:dyDescent="0.2">
      <c r="A130" s="269" t="s">
        <v>250</v>
      </c>
      <c r="B130" s="259"/>
      <c r="C130" s="259"/>
      <c r="D130" s="259"/>
      <c r="E130" s="259"/>
      <c r="F130" s="259"/>
      <c r="G130" s="270"/>
      <c r="H130" s="271"/>
      <c r="I130" s="271"/>
      <c r="J130" s="271"/>
      <c r="K130" s="259"/>
      <c r="L130" s="259"/>
      <c r="M130" s="259"/>
      <c r="N130" s="266"/>
      <c r="O130" s="266"/>
      <c r="P130" s="267"/>
      <c r="Q130" s="266"/>
      <c r="R130" s="321"/>
      <c r="S130" s="22" t="s">
        <v>244</v>
      </c>
      <c r="T130" s="249"/>
    </row>
    <row r="131" spans="1:20" ht="13.5" thickBot="1" x14ac:dyDescent="0.25">
      <c r="A131" s="269"/>
      <c r="B131" s="259"/>
      <c r="C131" s="259"/>
      <c r="D131" s="259"/>
      <c r="E131" s="259"/>
      <c r="F131" s="259"/>
      <c r="G131" s="270"/>
      <c r="H131" s="271"/>
      <c r="I131" s="271"/>
      <c r="J131" s="271"/>
      <c r="K131" s="259"/>
      <c r="L131" s="259"/>
      <c r="M131" s="259"/>
      <c r="N131" s="264"/>
      <c r="O131" s="266"/>
      <c r="P131" s="267"/>
      <c r="Q131" s="264"/>
      <c r="R131" s="52"/>
      <c r="S131" s="98">
        <v>39917</v>
      </c>
      <c r="T131" s="249"/>
    </row>
    <row r="132" spans="1:20" ht="13.5" thickBot="1" x14ac:dyDescent="0.25">
      <c r="A132" s="272" t="s">
        <v>251</v>
      </c>
      <c r="B132" s="273"/>
      <c r="C132" s="273"/>
      <c r="D132" s="273"/>
      <c r="E132" s="273"/>
      <c r="F132" s="273"/>
      <c r="G132" s="275"/>
      <c r="H132" s="277"/>
      <c r="I132" s="277"/>
      <c r="J132" s="277"/>
      <c r="K132" s="273"/>
      <c r="L132" s="273"/>
      <c r="M132" s="273"/>
      <c r="N132" s="195"/>
      <c r="O132" s="195"/>
      <c r="P132" s="279"/>
      <c r="Q132" s="195"/>
      <c r="R132" s="280"/>
      <c r="S132" s="325"/>
    </row>
    <row r="133" spans="1:20" x14ac:dyDescent="0.2">
      <c r="A133" s="388"/>
      <c r="B133" s="352"/>
      <c r="C133" s="261"/>
      <c r="D133" s="261"/>
      <c r="E133" s="352"/>
      <c r="F133" s="261"/>
      <c r="G133" s="261"/>
      <c r="H133" s="352"/>
      <c r="I133" s="352"/>
      <c r="J133" s="352"/>
      <c r="K133" s="264"/>
      <c r="L133" s="264"/>
      <c r="M133" s="389"/>
      <c r="N133" s="264"/>
      <c r="O133" s="62"/>
      <c r="P133" s="267"/>
      <c r="Q133" s="264"/>
      <c r="R133" s="390"/>
      <c r="S133" s="264"/>
    </row>
    <row r="134" spans="1:20" x14ac:dyDescent="0.2">
      <c r="A134" s="388"/>
      <c r="B134" s="352"/>
      <c r="C134" s="261"/>
      <c r="D134" s="261"/>
      <c r="E134" s="352"/>
      <c r="F134" s="261"/>
      <c r="G134" s="261"/>
      <c r="H134" s="352"/>
      <c r="I134" s="352"/>
      <c r="J134" s="352"/>
      <c r="K134" s="264"/>
      <c r="L134" s="264"/>
      <c r="M134" s="389"/>
      <c r="N134" s="264"/>
      <c r="O134" s="62"/>
      <c r="P134" s="267"/>
      <c r="Q134" s="264"/>
      <c r="R134" s="390"/>
      <c r="S134" s="264"/>
    </row>
  </sheetData>
  <autoFilter ref="A8:U132"/>
  <mergeCells count="19">
    <mergeCell ref="A1:S1"/>
    <mergeCell ref="A2:S2"/>
    <mergeCell ref="A3:D3"/>
    <mergeCell ref="E3:K3"/>
    <mergeCell ref="O3:Q3"/>
    <mergeCell ref="A127:G127"/>
    <mergeCell ref="A128:B128"/>
    <mergeCell ref="Q4:S4"/>
    <mergeCell ref="G5:G7"/>
    <mergeCell ref="H5:H7"/>
    <mergeCell ref="K5:L6"/>
    <mergeCell ref="M5:P6"/>
    <mergeCell ref="S5:S7"/>
    <mergeCell ref="Q5:Q7"/>
    <mergeCell ref="A4:A7"/>
    <mergeCell ref="B4:B7"/>
    <mergeCell ref="C4:C7"/>
    <mergeCell ref="D4:P4"/>
    <mergeCell ref="F6:F7"/>
  </mergeCells>
  <phoneticPr fontId="7" type="noConversion"/>
  <pageMargins left="0.59055118110236227" right="0" top="0.39370078740157483" bottom="0.39370078740157483" header="0" footer="0"/>
  <pageSetup orientation="landscape" horizontalDpi="300" verticalDpi="300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/>
  <dimension ref="A1:T157"/>
  <sheetViews>
    <sheetView showGridLines="0" showZeros="0" defaultGridColor="0" topLeftCell="D1" colorId="23" workbookViewId="0">
      <selection activeCell="T5" sqref="T5"/>
    </sheetView>
  </sheetViews>
  <sheetFormatPr baseColWidth="10" defaultColWidth="11.42578125" defaultRowHeight="12.75" x14ac:dyDescent="0.2"/>
  <cols>
    <col min="1" max="1" width="4.28515625" style="282" customWidth="1"/>
    <col min="2" max="2" width="18.28515625" style="283" customWidth="1"/>
    <col min="3" max="3" width="4.28515625" style="283" customWidth="1"/>
    <col min="4" max="5" width="10.42578125" style="282" customWidth="1"/>
    <col min="6" max="6" width="4.28515625" style="282" customWidth="1"/>
    <col min="7" max="7" width="4.7109375" style="282" customWidth="1"/>
    <col min="8" max="8" width="8" style="330" customWidth="1"/>
    <col min="9" max="9" width="6.5703125" style="288" customWidth="1"/>
    <col min="10" max="10" width="6.7109375" style="288" customWidth="1"/>
    <col min="11" max="11" width="12.42578125" style="283" customWidth="1"/>
    <col min="12" max="12" width="12.42578125" style="283" hidden="1" customWidth="1"/>
    <col min="13" max="13" width="6.28515625" style="288" customWidth="1"/>
    <col min="14" max="14" width="8.7109375" style="288" customWidth="1"/>
    <col min="15" max="15" width="8.28515625" style="289" customWidth="1"/>
    <col min="16" max="16" width="6.7109375" style="288" customWidth="1"/>
    <col min="17" max="17" width="7.7109375" style="290" customWidth="1"/>
    <col min="18" max="18" width="9" style="290" hidden="1" customWidth="1"/>
    <col min="19" max="19" width="9.42578125" style="288" customWidth="1"/>
    <col min="20" max="20" width="9.28515625" style="191" customWidth="1"/>
    <col min="21" max="16384" width="11.42578125" style="191"/>
  </cols>
  <sheetData>
    <row r="1" spans="1:19" ht="20.25" x14ac:dyDescent="0.3">
      <c r="A1" s="2062" t="s">
        <v>231</v>
      </c>
      <c r="B1" s="2063"/>
      <c r="C1" s="2063"/>
      <c r="D1" s="2063"/>
      <c r="E1" s="2063"/>
      <c r="F1" s="2063"/>
      <c r="G1" s="2063"/>
      <c r="H1" s="2063"/>
      <c r="I1" s="2063"/>
      <c r="J1" s="2063"/>
      <c r="K1" s="2063"/>
      <c r="L1" s="2063"/>
      <c r="M1" s="2063"/>
      <c r="N1" s="2063"/>
      <c r="O1" s="2063"/>
      <c r="P1" s="2063"/>
      <c r="Q1" s="2063"/>
      <c r="R1" s="2063"/>
      <c r="S1" s="2066"/>
    </row>
    <row r="2" spans="1:19" ht="15.75" x14ac:dyDescent="0.25">
      <c r="A2" s="2067" t="s">
        <v>630</v>
      </c>
      <c r="B2" s="2068"/>
      <c r="C2" s="2068"/>
      <c r="D2" s="2068"/>
      <c r="E2" s="2068"/>
      <c r="F2" s="2068"/>
      <c r="G2" s="2068"/>
      <c r="H2" s="2068"/>
      <c r="I2" s="2068"/>
      <c r="J2" s="2068"/>
      <c r="K2" s="2068"/>
      <c r="L2" s="2068"/>
      <c r="M2" s="2068"/>
      <c r="N2" s="2068"/>
      <c r="O2" s="2068"/>
      <c r="P2" s="2068"/>
      <c r="Q2" s="2068"/>
      <c r="R2" s="2068"/>
      <c r="S2" s="2071"/>
    </row>
    <row r="3" spans="1:19" ht="16.5" thickBot="1" x14ac:dyDescent="0.3">
      <c r="A3" s="2163" t="s">
        <v>23</v>
      </c>
      <c r="B3" s="2164"/>
      <c r="C3" s="2164"/>
      <c r="D3" s="2164"/>
      <c r="E3" s="2077" t="s">
        <v>277</v>
      </c>
      <c r="F3" s="2077"/>
      <c r="G3" s="2077"/>
      <c r="H3" s="2077"/>
      <c r="I3" s="2077"/>
      <c r="J3" s="291">
        <v>41</v>
      </c>
      <c r="K3" s="273" t="s">
        <v>278</v>
      </c>
      <c r="L3" s="273"/>
      <c r="M3" s="195"/>
      <c r="N3" s="2077" t="s">
        <v>279</v>
      </c>
      <c r="O3" s="2077"/>
      <c r="P3" s="2077"/>
      <c r="Q3" s="2140"/>
      <c r="R3" s="2140"/>
      <c r="S3" s="20"/>
    </row>
    <row r="4" spans="1:19" ht="13.5" thickBot="1" x14ac:dyDescent="0.25">
      <c r="A4" s="2165" t="s">
        <v>223</v>
      </c>
      <c r="B4" s="2166" t="s">
        <v>224</v>
      </c>
      <c r="C4" s="2141" t="s">
        <v>252</v>
      </c>
      <c r="D4" s="2167" t="s">
        <v>216</v>
      </c>
      <c r="E4" s="2168"/>
      <c r="F4" s="2168"/>
      <c r="G4" s="2168"/>
      <c r="H4" s="2168"/>
      <c r="I4" s="2168"/>
      <c r="J4" s="2168"/>
      <c r="K4" s="2168"/>
      <c r="L4" s="2168"/>
      <c r="M4" s="2168"/>
      <c r="N4" s="2168"/>
      <c r="O4" s="2169"/>
      <c r="P4" s="2168" t="s">
        <v>217</v>
      </c>
      <c r="Q4" s="2168"/>
      <c r="R4" s="2168"/>
      <c r="S4" s="2169"/>
    </row>
    <row r="5" spans="1:19" x14ac:dyDescent="0.2">
      <c r="A5" s="2102"/>
      <c r="B5" s="2110"/>
      <c r="C5" s="2116"/>
      <c r="D5" s="51"/>
      <c r="E5" s="93"/>
      <c r="F5" s="51"/>
      <c r="G5" s="2081" t="s">
        <v>287</v>
      </c>
      <c r="H5" s="2137" t="s">
        <v>288</v>
      </c>
      <c r="I5" s="2089" t="s">
        <v>235</v>
      </c>
      <c r="J5" s="2091"/>
      <c r="K5" s="2080" t="s">
        <v>218</v>
      </c>
      <c r="L5" s="2170"/>
      <c r="M5" s="2170"/>
      <c r="N5" s="2170"/>
      <c r="O5" s="2166"/>
      <c r="P5" s="2134" t="s">
        <v>221</v>
      </c>
      <c r="Q5" s="2170" t="s">
        <v>222</v>
      </c>
      <c r="R5" s="2166"/>
      <c r="S5" s="2141" t="s">
        <v>296</v>
      </c>
    </row>
    <row r="6" spans="1:19" ht="13.5" thickBot="1" x14ac:dyDescent="0.25">
      <c r="A6" s="2102"/>
      <c r="B6" s="2110"/>
      <c r="C6" s="2116"/>
      <c r="D6" s="32" t="s">
        <v>236</v>
      </c>
      <c r="E6" s="91" t="s">
        <v>237</v>
      </c>
      <c r="F6" s="2095" t="s">
        <v>226</v>
      </c>
      <c r="G6" s="2082"/>
      <c r="H6" s="2138"/>
      <c r="I6" s="2092"/>
      <c r="J6" s="2094"/>
      <c r="K6" s="2171"/>
      <c r="L6" s="2172"/>
      <c r="M6" s="2172"/>
      <c r="N6" s="2172"/>
      <c r="O6" s="2111"/>
      <c r="P6" s="2125"/>
      <c r="Q6" s="2173"/>
      <c r="R6" s="2110"/>
      <c r="S6" s="2142"/>
    </row>
    <row r="7" spans="1:19" ht="13.5" thickBot="1" x14ac:dyDescent="0.25">
      <c r="A7" s="2103"/>
      <c r="B7" s="2111"/>
      <c r="C7" s="2117"/>
      <c r="D7" s="90" t="s">
        <v>238</v>
      </c>
      <c r="E7" s="94" t="s">
        <v>238</v>
      </c>
      <c r="F7" s="2096"/>
      <c r="G7" s="2083"/>
      <c r="H7" s="2139"/>
      <c r="I7" s="27" t="s">
        <v>239</v>
      </c>
      <c r="J7" s="28" t="s">
        <v>240</v>
      </c>
      <c r="K7" s="30" t="s">
        <v>225</v>
      </c>
      <c r="L7" s="30"/>
      <c r="M7" s="97" t="s">
        <v>220</v>
      </c>
      <c r="N7" s="30" t="s">
        <v>227</v>
      </c>
      <c r="O7" s="49" t="s">
        <v>241</v>
      </c>
      <c r="P7" s="29"/>
      <c r="Q7" s="29"/>
      <c r="R7" s="347" t="s">
        <v>240</v>
      </c>
      <c r="S7" s="2143"/>
    </row>
    <row r="8" spans="1:19" s="196" customFormat="1" ht="13.5" thickBot="1" x14ac:dyDescent="0.25">
      <c r="A8" s="30">
        <v>1</v>
      </c>
      <c r="B8" s="30">
        <v>2</v>
      </c>
      <c r="C8" s="48">
        <v>3</v>
      </c>
      <c r="D8" s="30">
        <v>5</v>
      </c>
      <c r="E8" s="30">
        <v>6</v>
      </c>
      <c r="F8" s="30">
        <v>7</v>
      </c>
      <c r="G8" s="30">
        <v>8</v>
      </c>
      <c r="H8" s="30">
        <v>9</v>
      </c>
      <c r="I8" s="30">
        <v>10</v>
      </c>
      <c r="J8" s="49">
        <v>11</v>
      </c>
      <c r="K8" s="49">
        <v>12</v>
      </c>
      <c r="L8" s="49"/>
      <c r="M8" s="49">
        <v>13</v>
      </c>
      <c r="N8" s="30">
        <v>14</v>
      </c>
      <c r="O8" s="49" t="s">
        <v>289</v>
      </c>
      <c r="P8" s="30">
        <v>16</v>
      </c>
      <c r="Q8" s="30" t="s">
        <v>280</v>
      </c>
      <c r="R8" s="49" t="s">
        <v>281</v>
      </c>
      <c r="S8" s="30" t="s">
        <v>282</v>
      </c>
    </row>
    <row r="9" spans="1:19" x14ac:dyDescent="0.2">
      <c r="A9" s="302" t="s">
        <v>441</v>
      </c>
      <c r="B9" s="372" t="s">
        <v>253</v>
      </c>
      <c r="C9" s="304">
        <v>-45</v>
      </c>
      <c r="D9" s="304" t="s">
        <v>257</v>
      </c>
      <c r="E9" s="372" t="s">
        <v>327</v>
      </c>
      <c r="F9" s="304" t="s">
        <v>308</v>
      </c>
      <c r="G9" s="304">
        <v>1</v>
      </c>
      <c r="H9" s="372">
        <v>1.25</v>
      </c>
      <c r="I9" s="306">
        <v>10</v>
      </c>
      <c r="J9" s="306"/>
      <c r="K9" s="391" t="s">
        <v>234</v>
      </c>
      <c r="L9" s="391"/>
      <c r="M9" s="306">
        <v>32.4</v>
      </c>
      <c r="N9" s="47">
        <f>'PRECIOS INSUMOS 2015'!C$5</f>
        <v>2</v>
      </c>
      <c r="O9" s="57">
        <f t="shared" ref="O9:O21" si="0">N9*M9</f>
        <v>64.8</v>
      </c>
      <c r="P9" s="306">
        <f t="shared" ref="P9:P15" si="1">G9/H9</f>
        <v>0.8</v>
      </c>
      <c r="Q9" s="308">
        <f>(I9+J9)*P9*8</f>
        <v>64</v>
      </c>
      <c r="R9" s="354"/>
      <c r="S9" s="306">
        <f t="shared" ref="S9:S21" si="2">R9+Q9+O9</f>
        <v>128.80000000000001</v>
      </c>
    </row>
    <row r="10" spans="1:19" x14ac:dyDescent="0.2">
      <c r="A10" s="302" t="s">
        <v>442</v>
      </c>
      <c r="B10" s="206" t="s">
        <v>328</v>
      </c>
      <c r="C10" s="207">
        <v>-30</v>
      </c>
      <c r="D10" s="304" t="s">
        <v>257</v>
      </c>
      <c r="E10" s="206" t="s">
        <v>329</v>
      </c>
      <c r="F10" s="304" t="s">
        <v>308</v>
      </c>
      <c r="G10" s="207">
        <v>1</v>
      </c>
      <c r="H10" s="206">
        <v>4</v>
      </c>
      <c r="I10" s="306">
        <v>10</v>
      </c>
      <c r="J10" s="209"/>
      <c r="K10" s="391" t="s">
        <v>234</v>
      </c>
      <c r="L10" s="391"/>
      <c r="M10" s="306">
        <v>3.12</v>
      </c>
      <c r="N10" s="47">
        <f>'PRECIOS INSUMOS 2015'!C$5</f>
        <v>2</v>
      </c>
      <c r="O10" s="18">
        <f t="shared" si="0"/>
        <v>6.24</v>
      </c>
      <c r="P10" s="209">
        <f t="shared" si="1"/>
        <v>0.25</v>
      </c>
      <c r="Q10" s="308">
        <f t="shared" ref="Q10:Q73" si="3">(I10+J10)*P10*8</f>
        <v>20</v>
      </c>
      <c r="R10" s="226"/>
      <c r="S10" s="306">
        <f t="shared" si="2"/>
        <v>26.240000000000002</v>
      </c>
    </row>
    <row r="11" spans="1:19" x14ac:dyDescent="0.2">
      <c r="A11" s="302" t="s">
        <v>443</v>
      </c>
      <c r="B11" s="206" t="s">
        <v>258</v>
      </c>
      <c r="C11" s="207">
        <v>-20</v>
      </c>
      <c r="D11" s="304" t="s">
        <v>257</v>
      </c>
      <c r="E11" s="206" t="s">
        <v>327</v>
      </c>
      <c r="F11" s="304" t="s">
        <v>308</v>
      </c>
      <c r="G11" s="207">
        <v>1</v>
      </c>
      <c r="H11" s="206">
        <v>1.25</v>
      </c>
      <c r="I11" s="306">
        <v>10</v>
      </c>
      <c r="J11" s="209"/>
      <c r="K11" s="391" t="s">
        <v>234</v>
      </c>
      <c r="L11" s="391"/>
      <c r="M11" s="306">
        <v>22.68</v>
      </c>
      <c r="N11" s="47">
        <f>'PRECIOS INSUMOS 2015'!C$5</f>
        <v>2</v>
      </c>
      <c r="O11" s="18">
        <f t="shared" si="0"/>
        <v>45.36</v>
      </c>
      <c r="P11" s="209">
        <f t="shared" si="1"/>
        <v>0.8</v>
      </c>
      <c r="Q11" s="308">
        <f t="shared" si="3"/>
        <v>64</v>
      </c>
      <c r="R11" s="226"/>
      <c r="S11" s="306">
        <f t="shared" si="2"/>
        <v>109.36</v>
      </c>
    </row>
    <row r="12" spans="1:19" x14ac:dyDescent="0.2">
      <c r="A12" s="302" t="s">
        <v>444</v>
      </c>
      <c r="B12" s="206" t="s">
        <v>328</v>
      </c>
      <c r="C12" s="207">
        <v>-15</v>
      </c>
      <c r="D12" s="304" t="s">
        <v>257</v>
      </c>
      <c r="E12" s="206" t="s">
        <v>329</v>
      </c>
      <c r="F12" s="304" t="s">
        <v>308</v>
      </c>
      <c r="G12" s="207">
        <v>1</v>
      </c>
      <c r="H12" s="206">
        <v>4</v>
      </c>
      <c r="I12" s="306">
        <v>10</v>
      </c>
      <c r="J12" s="209"/>
      <c r="K12" s="391" t="s">
        <v>234</v>
      </c>
      <c r="L12" s="391"/>
      <c r="M12" s="306">
        <v>3.12</v>
      </c>
      <c r="N12" s="47">
        <f>'PRECIOS INSUMOS 2015'!C$5</f>
        <v>2</v>
      </c>
      <c r="O12" s="18">
        <f t="shared" si="0"/>
        <v>6.24</v>
      </c>
      <c r="P12" s="209">
        <f t="shared" si="1"/>
        <v>0.25</v>
      </c>
      <c r="Q12" s="308">
        <f t="shared" si="3"/>
        <v>20</v>
      </c>
      <c r="R12" s="226"/>
      <c r="S12" s="306">
        <f t="shared" si="2"/>
        <v>26.240000000000002</v>
      </c>
    </row>
    <row r="13" spans="1:19" x14ac:dyDescent="0.2">
      <c r="A13" s="302" t="s">
        <v>445</v>
      </c>
      <c r="B13" s="206" t="s">
        <v>440</v>
      </c>
      <c r="C13" s="207">
        <v>-12</v>
      </c>
      <c r="D13" s="304" t="s">
        <v>257</v>
      </c>
      <c r="E13" s="206" t="s">
        <v>330</v>
      </c>
      <c r="F13" s="304" t="s">
        <v>308</v>
      </c>
      <c r="G13" s="207">
        <v>1</v>
      </c>
      <c r="H13" s="206">
        <v>0.21</v>
      </c>
      <c r="I13" s="306">
        <v>10</v>
      </c>
      <c r="J13" s="209"/>
      <c r="K13" s="391" t="s">
        <v>234</v>
      </c>
      <c r="L13" s="391"/>
      <c r="M13" s="306">
        <v>6.67</v>
      </c>
      <c r="N13" s="47">
        <f>'PRECIOS INSUMOS 2015'!C$5</f>
        <v>2</v>
      </c>
      <c r="O13" s="18">
        <f t="shared" si="0"/>
        <v>13.34</v>
      </c>
      <c r="P13" s="209">
        <f t="shared" si="1"/>
        <v>4.7619047619047619</v>
      </c>
      <c r="Q13" s="308">
        <f t="shared" si="3"/>
        <v>380.95238095238096</v>
      </c>
      <c r="R13" s="226"/>
      <c r="S13" s="306">
        <f t="shared" si="2"/>
        <v>394.29238095238094</v>
      </c>
    </row>
    <row r="14" spans="1:19" x14ac:dyDescent="0.2">
      <c r="A14" s="302" t="s">
        <v>446</v>
      </c>
      <c r="B14" s="211" t="s">
        <v>332</v>
      </c>
      <c r="C14" s="207">
        <v>-3</v>
      </c>
      <c r="D14" s="304" t="s">
        <v>257</v>
      </c>
      <c r="E14" s="206" t="s">
        <v>333</v>
      </c>
      <c r="F14" s="304" t="s">
        <v>308</v>
      </c>
      <c r="G14" s="207">
        <v>1</v>
      </c>
      <c r="H14" s="206">
        <v>8</v>
      </c>
      <c r="I14" s="306">
        <v>10</v>
      </c>
      <c r="J14" s="209"/>
      <c r="K14" s="233" t="s">
        <v>234</v>
      </c>
      <c r="L14" s="233"/>
      <c r="M14" s="209">
        <f>97.97/13.42</f>
        <v>7.3002980625931446</v>
      </c>
      <c r="N14" s="47">
        <f>'PRECIOS INSUMOS 2015'!C$5</f>
        <v>2</v>
      </c>
      <c r="O14" s="18">
        <f t="shared" si="0"/>
        <v>14.600596125186289</v>
      </c>
      <c r="P14" s="209">
        <f t="shared" si="1"/>
        <v>0.125</v>
      </c>
      <c r="Q14" s="308">
        <f t="shared" si="3"/>
        <v>10</v>
      </c>
      <c r="R14" s="226"/>
      <c r="S14" s="306">
        <f t="shared" si="2"/>
        <v>24.600596125186289</v>
      </c>
    </row>
    <row r="15" spans="1:19" x14ac:dyDescent="0.2">
      <c r="A15" s="302" t="s">
        <v>447</v>
      </c>
      <c r="B15" s="206" t="s">
        <v>331</v>
      </c>
      <c r="C15" s="207">
        <v>-3</v>
      </c>
      <c r="D15" s="304" t="s">
        <v>257</v>
      </c>
      <c r="E15" s="212" t="s">
        <v>305</v>
      </c>
      <c r="F15" s="207" t="s">
        <v>436</v>
      </c>
      <c r="G15" s="207">
        <v>0.8</v>
      </c>
      <c r="H15" s="206">
        <v>1.49</v>
      </c>
      <c r="I15" s="306">
        <v>10</v>
      </c>
      <c r="J15" s="209"/>
      <c r="K15" s="233" t="s">
        <v>234</v>
      </c>
      <c r="L15" s="233"/>
      <c r="M15" s="209">
        <f>0.86*0.8</f>
        <v>0.68800000000000006</v>
      </c>
      <c r="N15" s="47">
        <f>'PRECIOS INSUMOS 2015'!C$5</f>
        <v>2</v>
      </c>
      <c r="O15" s="18">
        <f t="shared" si="0"/>
        <v>1.3760000000000001</v>
      </c>
      <c r="P15" s="209">
        <f t="shared" si="1"/>
        <v>0.53691275167785235</v>
      </c>
      <c r="Q15" s="308">
        <f t="shared" si="3"/>
        <v>42.95302013422819</v>
      </c>
      <c r="R15" s="226"/>
      <c r="S15" s="306">
        <f t="shared" si="2"/>
        <v>44.329020134228188</v>
      </c>
    </row>
    <row r="16" spans="1:19" x14ac:dyDescent="0.2">
      <c r="A16" s="302" t="s">
        <v>448</v>
      </c>
      <c r="B16" s="211" t="s">
        <v>332</v>
      </c>
      <c r="C16" s="207">
        <v>-3</v>
      </c>
      <c r="D16" s="304" t="s">
        <v>257</v>
      </c>
      <c r="E16" s="212" t="s">
        <v>305</v>
      </c>
      <c r="F16" s="207" t="s">
        <v>436</v>
      </c>
      <c r="G16" s="207">
        <v>0.8</v>
      </c>
      <c r="H16" s="206"/>
      <c r="I16" s="306"/>
      <c r="J16" s="209"/>
      <c r="K16" s="233" t="s">
        <v>632</v>
      </c>
      <c r="L16" s="233"/>
      <c r="M16" s="209">
        <v>0.8</v>
      </c>
      <c r="N16" s="13">
        <f>'PRECIOS INSUMOS 2015'!E$158</f>
        <v>2000</v>
      </c>
      <c r="O16" s="18">
        <f t="shared" si="0"/>
        <v>1600</v>
      </c>
      <c r="P16" s="209"/>
      <c r="Q16" s="308">
        <f t="shared" si="3"/>
        <v>0</v>
      </c>
      <c r="R16" s="226"/>
      <c r="S16" s="306">
        <f t="shared" si="2"/>
        <v>1600</v>
      </c>
    </row>
    <row r="17" spans="1:19" x14ac:dyDescent="0.2">
      <c r="A17" s="302" t="s">
        <v>449</v>
      </c>
      <c r="B17" s="206" t="s">
        <v>336</v>
      </c>
      <c r="C17" s="207">
        <v>-3</v>
      </c>
      <c r="D17" s="1" t="s">
        <v>266</v>
      </c>
      <c r="E17" s="206" t="s">
        <v>266</v>
      </c>
      <c r="F17" s="207" t="s">
        <v>310</v>
      </c>
      <c r="G17" s="207">
        <v>90</v>
      </c>
      <c r="H17" s="206">
        <v>10</v>
      </c>
      <c r="I17" s="209"/>
      <c r="J17" s="209">
        <v>10</v>
      </c>
      <c r="K17" s="392" t="s">
        <v>295</v>
      </c>
      <c r="L17" s="392"/>
      <c r="M17" s="226">
        <v>90</v>
      </c>
      <c r="N17" s="13">
        <f>'PRECIOS INSUMOS 2015'!H34</f>
        <v>70</v>
      </c>
      <c r="O17" s="18">
        <f t="shared" si="0"/>
        <v>6300</v>
      </c>
      <c r="P17" s="209">
        <f>G17/H17</f>
        <v>9</v>
      </c>
      <c r="Q17" s="308">
        <f t="shared" si="3"/>
        <v>720</v>
      </c>
      <c r="R17" s="226"/>
      <c r="S17" s="306">
        <f t="shared" si="2"/>
        <v>7020</v>
      </c>
    </row>
    <row r="18" spans="1:19" x14ac:dyDescent="0.2">
      <c r="A18" s="302" t="s">
        <v>337</v>
      </c>
      <c r="B18" s="206" t="s">
        <v>338</v>
      </c>
      <c r="C18" s="207">
        <v>-3</v>
      </c>
      <c r="D18" s="1" t="s">
        <v>266</v>
      </c>
      <c r="E18" s="206" t="s">
        <v>266</v>
      </c>
      <c r="F18" s="207" t="s">
        <v>310</v>
      </c>
      <c r="G18" s="207">
        <v>90</v>
      </c>
      <c r="H18" s="206">
        <v>10</v>
      </c>
      <c r="I18" s="209"/>
      <c r="J18" s="209">
        <v>10</v>
      </c>
      <c r="K18" s="233"/>
      <c r="L18" s="233"/>
      <c r="M18" s="209"/>
      <c r="N18" s="13"/>
      <c r="O18" s="18">
        <f t="shared" si="0"/>
        <v>0</v>
      </c>
      <c r="P18" s="209">
        <f>G18/H18</f>
        <v>9</v>
      </c>
      <c r="Q18" s="308">
        <f t="shared" si="3"/>
        <v>720</v>
      </c>
      <c r="R18" s="226"/>
      <c r="S18" s="306">
        <f t="shared" si="2"/>
        <v>720</v>
      </c>
    </row>
    <row r="19" spans="1:19" x14ac:dyDescent="0.2">
      <c r="A19" s="302" t="s">
        <v>339</v>
      </c>
      <c r="B19" s="206" t="s">
        <v>340</v>
      </c>
      <c r="C19" s="207">
        <v>-3</v>
      </c>
      <c r="D19" s="1" t="s">
        <v>266</v>
      </c>
      <c r="E19" s="206" t="s">
        <v>266</v>
      </c>
      <c r="F19" s="207" t="s">
        <v>310</v>
      </c>
      <c r="G19" s="207">
        <v>90</v>
      </c>
      <c r="H19" s="206">
        <v>90</v>
      </c>
      <c r="I19" s="18"/>
      <c r="J19" s="209">
        <v>10</v>
      </c>
      <c r="K19" s="233"/>
      <c r="L19" s="233"/>
      <c r="M19" s="209"/>
      <c r="N19" s="13"/>
      <c r="O19" s="18">
        <f t="shared" si="0"/>
        <v>0</v>
      </c>
      <c r="P19" s="18">
        <f>G19/H19</f>
        <v>1</v>
      </c>
      <c r="Q19" s="308">
        <f t="shared" si="3"/>
        <v>80</v>
      </c>
      <c r="R19" s="226"/>
      <c r="S19" s="306">
        <f t="shared" si="2"/>
        <v>80</v>
      </c>
    </row>
    <row r="20" spans="1:19" x14ac:dyDescent="0.2">
      <c r="A20" s="302" t="s">
        <v>341</v>
      </c>
      <c r="B20" s="374" t="s">
        <v>334</v>
      </c>
      <c r="C20" s="375">
        <v>-3</v>
      </c>
      <c r="D20" s="1" t="s">
        <v>266</v>
      </c>
      <c r="E20" s="374" t="s">
        <v>335</v>
      </c>
      <c r="F20" s="207" t="s">
        <v>310</v>
      </c>
      <c r="G20" s="207">
        <v>90</v>
      </c>
      <c r="H20" s="374">
        <v>90</v>
      </c>
      <c r="I20" s="209"/>
      <c r="J20" s="209">
        <v>10</v>
      </c>
      <c r="K20" s="233" t="s">
        <v>574</v>
      </c>
      <c r="L20" s="233"/>
      <c r="M20" s="209">
        <v>15</v>
      </c>
      <c r="N20" s="13">
        <f>'PRECIOS INSUMOS 2015'!H$30</f>
        <v>8.9499999999999993</v>
      </c>
      <c r="O20" s="18">
        <f t="shared" si="0"/>
        <v>134.25</v>
      </c>
      <c r="P20" s="209">
        <f>G20/H20</f>
        <v>1</v>
      </c>
      <c r="Q20" s="308">
        <f t="shared" si="3"/>
        <v>80</v>
      </c>
      <c r="R20" s="226"/>
      <c r="S20" s="306">
        <f t="shared" si="2"/>
        <v>214.25</v>
      </c>
    </row>
    <row r="21" spans="1:19" x14ac:dyDescent="0.2">
      <c r="A21" s="302" t="s">
        <v>343</v>
      </c>
      <c r="B21" s="206" t="s">
        <v>344</v>
      </c>
      <c r="C21" s="207">
        <v>-2</v>
      </c>
      <c r="D21" s="207"/>
      <c r="E21" s="206" t="s">
        <v>264</v>
      </c>
      <c r="F21" s="207" t="s">
        <v>308</v>
      </c>
      <c r="G21" s="207">
        <v>1</v>
      </c>
      <c r="H21" s="206"/>
      <c r="I21" s="209"/>
      <c r="J21" s="209"/>
      <c r="K21" s="233" t="s">
        <v>1366</v>
      </c>
      <c r="L21" s="233"/>
      <c r="M21" s="209">
        <v>0.35</v>
      </c>
      <c r="N21" s="13">
        <v>18</v>
      </c>
      <c r="O21" s="18">
        <f t="shared" si="0"/>
        <v>6.3</v>
      </c>
      <c r="P21" s="209"/>
      <c r="Q21" s="308">
        <f t="shared" si="3"/>
        <v>0</v>
      </c>
      <c r="R21" s="226"/>
      <c r="S21" s="306">
        <f t="shared" si="2"/>
        <v>6.3</v>
      </c>
    </row>
    <row r="22" spans="1:19" s="317" customFormat="1" x14ac:dyDescent="0.2">
      <c r="A22" s="302" t="s">
        <v>345</v>
      </c>
      <c r="B22" s="36" t="s">
        <v>572</v>
      </c>
      <c r="C22" s="1">
        <v>-2</v>
      </c>
      <c r="D22" s="44"/>
      <c r="E22" s="36" t="s">
        <v>264</v>
      </c>
      <c r="F22" s="1" t="s">
        <v>308</v>
      </c>
      <c r="G22" s="1">
        <v>1</v>
      </c>
      <c r="H22" s="36">
        <v>0.62</v>
      </c>
      <c r="I22" s="306">
        <v>10</v>
      </c>
      <c r="J22" s="18"/>
      <c r="K22" s="102" t="s">
        <v>234</v>
      </c>
      <c r="L22" s="102"/>
      <c r="M22" s="18">
        <v>1.72</v>
      </c>
      <c r="N22" s="47">
        <f>'PRECIOS INSUMOS 2015'!C$5</f>
        <v>2</v>
      </c>
      <c r="O22" s="18">
        <f>N22*M22</f>
        <v>3.44</v>
      </c>
      <c r="P22" s="209">
        <f t="shared" ref="P22:P27" si="4">G22/H22</f>
        <v>1.6129032258064517</v>
      </c>
      <c r="Q22" s="308">
        <f t="shared" si="3"/>
        <v>129.03225806451613</v>
      </c>
      <c r="R22" s="226"/>
      <c r="S22" s="57">
        <f>O22+Q22+R22</f>
        <v>132.47225806451613</v>
      </c>
    </row>
    <row r="23" spans="1:19" x14ac:dyDescent="0.2">
      <c r="A23" s="302" t="s">
        <v>347</v>
      </c>
      <c r="B23" s="212" t="s">
        <v>346</v>
      </c>
      <c r="C23" s="379">
        <v>-1</v>
      </c>
      <c r="D23" s="304" t="s">
        <v>257</v>
      </c>
      <c r="E23" s="212" t="s">
        <v>305</v>
      </c>
      <c r="F23" s="379" t="s">
        <v>310</v>
      </c>
      <c r="G23" s="207">
        <v>70</v>
      </c>
      <c r="H23" s="212">
        <v>600</v>
      </c>
      <c r="I23" s="306">
        <v>10</v>
      </c>
      <c r="J23" s="209"/>
      <c r="K23" s="233" t="s">
        <v>234</v>
      </c>
      <c r="L23" s="233"/>
      <c r="M23" s="209">
        <v>2.77</v>
      </c>
      <c r="N23" s="47">
        <f>'PRECIOS INSUMOS 2015'!C$5</f>
        <v>2</v>
      </c>
      <c r="O23" s="18">
        <f t="shared" ref="O23:O54" si="5">N23*M23</f>
        <v>5.54</v>
      </c>
      <c r="P23" s="209">
        <f t="shared" si="4"/>
        <v>0.11666666666666667</v>
      </c>
      <c r="Q23" s="308">
        <f t="shared" si="3"/>
        <v>9.3333333333333339</v>
      </c>
      <c r="R23" s="226"/>
      <c r="S23" s="306">
        <f t="shared" ref="S23:S28" si="6">R23+Q23+O23</f>
        <v>14.873333333333335</v>
      </c>
    </row>
    <row r="24" spans="1:19" x14ac:dyDescent="0.2">
      <c r="A24" s="302" t="s">
        <v>350</v>
      </c>
      <c r="B24" s="206" t="s">
        <v>342</v>
      </c>
      <c r="C24" s="207">
        <v>-1</v>
      </c>
      <c r="D24" s="44" t="s">
        <v>266</v>
      </c>
      <c r="E24" s="206" t="s">
        <v>266</v>
      </c>
      <c r="F24" s="207" t="s">
        <v>310</v>
      </c>
      <c r="G24" s="207">
        <v>70</v>
      </c>
      <c r="H24" s="206">
        <v>90</v>
      </c>
      <c r="I24" s="57"/>
      <c r="J24" s="209">
        <v>10</v>
      </c>
      <c r="K24" s="233"/>
      <c r="L24" s="233"/>
      <c r="M24" s="393"/>
      <c r="N24" s="13"/>
      <c r="O24" s="18">
        <f t="shared" si="5"/>
        <v>0</v>
      </c>
      <c r="P24" s="18">
        <f t="shared" si="4"/>
        <v>0.77777777777777779</v>
      </c>
      <c r="Q24" s="308">
        <f t="shared" si="3"/>
        <v>62.222222222222221</v>
      </c>
      <c r="R24" s="226"/>
      <c r="S24" s="306">
        <f t="shared" si="6"/>
        <v>62.222222222222221</v>
      </c>
    </row>
    <row r="25" spans="1:19" x14ac:dyDescent="0.2">
      <c r="A25" s="302" t="s">
        <v>352</v>
      </c>
      <c r="B25" s="206" t="s">
        <v>348</v>
      </c>
      <c r="C25" s="207">
        <v>0</v>
      </c>
      <c r="D25" s="304" t="s">
        <v>257</v>
      </c>
      <c r="E25" s="211" t="s">
        <v>349</v>
      </c>
      <c r="F25" s="207" t="s">
        <v>308</v>
      </c>
      <c r="G25" s="207">
        <v>1</v>
      </c>
      <c r="H25" s="206">
        <v>2.8</v>
      </c>
      <c r="I25" s="306">
        <v>10</v>
      </c>
      <c r="J25" s="209"/>
      <c r="K25" s="233" t="s">
        <v>234</v>
      </c>
      <c r="L25" s="233"/>
      <c r="M25" s="209">
        <v>32.4</v>
      </c>
      <c r="N25" s="47">
        <f>'PRECIOS INSUMOS 2015'!C$5</f>
        <v>2</v>
      </c>
      <c r="O25" s="18">
        <f t="shared" si="5"/>
        <v>64.8</v>
      </c>
      <c r="P25" s="209">
        <f t="shared" si="4"/>
        <v>0.35714285714285715</v>
      </c>
      <c r="Q25" s="308">
        <f t="shared" si="3"/>
        <v>28.571428571428573</v>
      </c>
      <c r="R25" s="226"/>
      <c r="S25" s="306">
        <f t="shared" si="6"/>
        <v>93.371428571428567</v>
      </c>
    </row>
    <row r="26" spans="1:19" x14ac:dyDescent="0.2">
      <c r="A26" s="302" t="s">
        <v>354</v>
      </c>
      <c r="B26" s="211" t="s">
        <v>351</v>
      </c>
      <c r="C26" s="207">
        <v>0</v>
      </c>
      <c r="D26" s="44" t="s">
        <v>266</v>
      </c>
      <c r="E26" s="206" t="s">
        <v>266</v>
      </c>
      <c r="F26" s="207" t="s">
        <v>308</v>
      </c>
      <c r="G26" s="207">
        <v>1</v>
      </c>
      <c r="H26" s="206">
        <v>0.3</v>
      </c>
      <c r="I26" s="209"/>
      <c r="J26" s="209">
        <v>10</v>
      </c>
      <c r="K26" s="233"/>
      <c r="L26" s="233"/>
      <c r="M26" s="209"/>
      <c r="N26" s="13"/>
      <c r="O26" s="18">
        <f t="shared" si="5"/>
        <v>0</v>
      </c>
      <c r="P26" s="209">
        <f t="shared" si="4"/>
        <v>3.3333333333333335</v>
      </c>
      <c r="Q26" s="308">
        <f t="shared" si="3"/>
        <v>266.66666666666669</v>
      </c>
      <c r="R26" s="226"/>
      <c r="S26" s="306">
        <f t="shared" si="6"/>
        <v>266.66666666666669</v>
      </c>
    </row>
    <row r="27" spans="1:19" x14ac:dyDescent="0.2">
      <c r="A27" s="302" t="s">
        <v>355</v>
      </c>
      <c r="B27" s="374" t="s">
        <v>265</v>
      </c>
      <c r="C27" s="375">
        <v>1</v>
      </c>
      <c r="D27" s="1" t="s">
        <v>266</v>
      </c>
      <c r="E27" s="374" t="s">
        <v>335</v>
      </c>
      <c r="F27" s="207" t="s">
        <v>308</v>
      </c>
      <c r="G27" s="207">
        <v>1</v>
      </c>
      <c r="H27" s="374">
        <v>0.55000000000000004</v>
      </c>
      <c r="I27" s="209"/>
      <c r="J27" s="209">
        <v>10</v>
      </c>
      <c r="K27" s="233" t="s">
        <v>574</v>
      </c>
      <c r="L27" s="233"/>
      <c r="M27" s="209">
        <v>5</v>
      </c>
      <c r="N27" s="13">
        <f>'PRECIOS INSUMOS 2015'!H$30</f>
        <v>8.9499999999999993</v>
      </c>
      <c r="O27" s="18">
        <f t="shared" si="5"/>
        <v>44.75</v>
      </c>
      <c r="P27" s="209">
        <f t="shared" si="4"/>
        <v>1.8181818181818181</v>
      </c>
      <c r="Q27" s="308">
        <f t="shared" si="3"/>
        <v>145.45454545454544</v>
      </c>
      <c r="R27" s="226"/>
      <c r="S27" s="306">
        <f t="shared" si="6"/>
        <v>190.20454545454544</v>
      </c>
    </row>
    <row r="28" spans="1:19" x14ac:dyDescent="0.2">
      <c r="A28" s="302" t="s">
        <v>356</v>
      </c>
      <c r="B28" s="211" t="s">
        <v>353</v>
      </c>
      <c r="C28" s="207">
        <v>1</v>
      </c>
      <c r="D28" s="304"/>
      <c r="E28" s="206" t="s">
        <v>264</v>
      </c>
      <c r="F28" s="207" t="s">
        <v>308</v>
      </c>
      <c r="G28" s="207">
        <v>1</v>
      </c>
      <c r="H28" s="206"/>
      <c r="I28" s="209"/>
      <c r="J28" s="209"/>
      <c r="K28" s="233" t="s">
        <v>1366</v>
      </c>
      <c r="L28" s="233"/>
      <c r="M28" s="209">
        <v>0.35</v>
      </c>
      <c r="N28" s="13">
        <v>18</v>
      </c>
      <c r="O28" s="18">
        <f t="shared" si="5"/>
        <v>6.3</v>
      </c>
      <c r="P28" s="209"/>
      <c r="Q28" s="308">
        <f t="shared" si="3"/>
        <v>0</v>
      </c>
      <c r="R28" s="226"/>
      <c r="S28" s="306">
        <f t="shared" si="6"/>
        <v>6.3</v>
      </c>
    </row>
    <row r="29" spans="1:19" x14ac:dyDescent="0.2">
      <c r="A29" s="302" t="s">
        <v>357</v>
      </c>
      <c r="B29" s="87" t="s">
        <v>573</v>
      </c>
      <c r="C29" s="1">
        <v>1</v>
      </c>
      <c r="D29" s="44"/>
      <c r="E29" s="36" t="s">
        <v>264</v>
      </c>
      <c r="F29" s="1" t="s">
        <v>308</v>
      </c>
      <c r="G29" s="1">
        <v>1</v>
      </c>
      <c r="H29" s="36">
        <v>0.62</v>
      </c>
      <c r="I29" s="306">
        <v>10</v>
      </c>
      <c r="J29" s="18"/>
      <c r="K29" s="102" t="s">
        <v>234</v>
      </c>
      <c r="L29" s="102"/>
      <c r="M29" s="18">
        <v>1.72</v>
      </c>
      <c r="N29" s="47">
        <f>'PRECIOS INSUMOS 2015'!C$5</f>
        <v>2</v>
      </c>
      <c r="O29" s="18">
        <f t="shared" si="5"/>
        <v>3.44</v>
      </c>
      <c r="P29" s="209">
        <f>G29/H29</f>
        <v>1.6129032258064517</v>
      </c>
      <c r="Q29" s="308">
        <f t="shared" si="3"/>
        <v>129.03225806451613</v>
      </c>
      <c r="R29" s="226"/>
      <c r="S29" s="57">
        <f>O29+Q29+R29</f>
        <v>132.47225806451613</v>
      </c>
    </row>
    <row r="30" spans="1:19" x14ac:dyDescent="0.2">
      <c r="A30" s="302" t="s">
        <v>358</v>
      </c>
      <c r="B30" s="206" t="s">
        <v>274</v>
      </c>
      <c r="C30" s="207">
        <v>3</v>
      </c>
      <c r="D30" s="304" t="s">
        <v>257</v>
      </c>
      <c r="E30" s="206" t="s">
        <v>303</v>
      </c>
      <c r="F30" s="207" t="s">
        <v>308</v>
      </c>
      <c r="G30" s="207">
        <v>1</v>
      </c>
      <c r="H30" s="206">
        <v>6.5</v>
      </c>
      <c r="I30" s="306">
        <v>10</v>
      </c>
      <c r="J30" s="209"/>
      <c r="K30" s="233" t="s">
        <v>234</v>
      </c>
      <c r="L30" s="233"/>
      <c r="M30" s="209">
        <f>46.03/13.42</f>
        <v>3.4299552906110282</v>
      </c>
      <c r="N30" s="47">
        <f>'PRECIOS INSUMOS 2015'!C$5</f>
        <v>2</v>
      </c>
      <c r="O30" s="18">
        <f t="shared" si="5"/>
        <v>6.8599105812220564</v>
      </c>
      <c r="P30" s="209">
        <f>G30/H30</f>
        <v>0.15384615384615385</v>
      </c>
      <c r="Q30" s="308">
        <f t="shared" si="3"/>
        <v>12.307692307692308</v>
      </c>
      <c r="R30" s="226"/>
      <c r="S30" s="306">
        <f>R30+Q30+O30</f>
        <v>19.167602888914367</v>
      </c>
    </row>
    <row r="31" spans="1:19" x14ac:dyDescent="0.2">
      <c r="A31" s="302" t="s">
        <v>359</v>
      </c>
      <c r="B31" s="206" t="s">
        <v>274</v>
      </c>
      <c r="C31" s="207">
        <v>3</v>
      </c>
      <c r="D31" s="304"/>
      <c r="E31" s="206"/>
      <c r="F31" s="207" t="s">
        <v>292</v>
      </c>
      <c r="G31" s="207"/>
      <c r="H31" s="206"/>
      <c r="I31" s="209"/>
      <c r="J31" s="209"/>
      <c r="K31" s="233" t="s">
        <v>567</v>
      </c>
      <c r="L31" s="233"/>
      <c r="M31" s="209">
        <v>3</v>
      </c>
      <c r="N31" s="13">
        <f>'PRECIOS INSUMOS 2015'!H17</f>
        <v>43</v>
      </c>
      <c r="O31" s="18">
        <f t="shared" si="5"/>
        <v>129</v>
      </c>
      <c r="P31" s="209"/>
      <c r="Q31" s="308">
        <f t="shared" si="3"/>
        <v>0</v>
      </c>
      <c r="R31" s="226"/>
      <c r="S31" s="306">
        <f>R31+Q31+O31</f>
        <v>129</v>
      </c>
    </row>
    <row r="32" spans="1:19" x14ac:dyDescent="0.2">
      <c r="A32" s="302" t="s">
        <v>361</v>
      </c>
      <c r="B32" s="206" t="s">
        <v>263</v>
      </c>
      <c r="C32" s="207">
        <v>8</v>
      </c>
      <c r="D32" s="304"/>
      <c r="E32" s="206" t="s">
        <v>264</v>
      </c>
      <c r="F32" s="207" t="s">
        <v>308</v>
      </c>
      <c r="G32" s="207">
        <v>1</v>
      </c>
      <c r="H32" s="206"/>
      <c r="I32" s="209"/>
      <c r="J32" s="241"/>
      <c r="K32" s="233" t="s">
        <v>1366</v>
      </c>
      <c r="L32" s="233"/>
      <c r="M32" s="209">
        <v>0.35</v>
      </c>
      <c r="N32" s="13">
        <v>18</v>
      </c>
      <c r="O32" s="18">
        <f t="shared" si="5"/>
        <v>6.3</v>
      </c>
      <c r="P32" s="209"/>
      <c r="Q32" s="308">
        <f t="shared" si="3"/>
        <v>0</v>
      </c>
      <c r="R32" s="226"/>
      <c r="S32" s="306">
        <f>R32+Q32+O32</f>
        <v>6.3</v>
      </c>
    </row>
    <row r="33" spans="1:19" x14ac:dyDescent="0.2">
      <c r="A33" s="302" t="s">
        <v>362</v>
      </c>
      <c r="B33" s="36" t="s">
        <v>571</v>
      </c>
      <c r="C33" s="1">
        <v>8</v>
      </c>
      <c r="D33" s="44"/>
      <c r="E33" s="36" t="s">
        <v>264</v>
      </c>
      <c r="F33" s="1" t="s">
        <v>308</v>
      </c>
      <c r="G33" s="1">
        <v>1</v>
      </c>
      <c r="H33" s="36">
        <v>0.62</v>
      </c>
      <c r="I33" s="306">
        <v>10</v>
      </c>
      <c r="J33" s="251"/>
      <c r="K33" s="102" t="s">
        <v>234</v>
      </c>
      <c r="L33" s="102"/>
      <c r="M33" s="18">
        <v>1.72</v>
      </c>
      <c r="N33" s="47">
        <f>'PRECIOS INSUMOS 2015'!C$5</f>
        <v>2</v>
      </c>
      <c r="O33" s="18">
        <f t="shared" si="5"/>
        <v>3.44</v>
      </c>
      <c r="P33" s="18">
        <v>1.6129032258064517</v>
      </c>
      <c r="Q33" s="308">
        <f t="shared" si="3"/>
        <v>129.03225806451613</v>
      </c>
      <c r="R33" s="226"/>
      <c r="S33" s="57">
        <f>O33+Q33+R33</f>
        <v>132.47225806451613</v>
      </c>
    </row>
    <row r="34" spans="1:19" x14ac:dyDescent="0.2">
      <c r="A34" s="302" t="s">
        <v>364</v>
      </c>
      <c r="B34" s="206" t="s">
        <v>263</v>
      </c>
      <c r="C34" s="207">
        <v>13</v>
      </c>
      <c r="D34" s="304"/>
      <c r="E34" s="206" t="s">
        <v>264</v>
      </c>
      <c r="F34" s="207" t="s">
        <v>308</v>
      </c>
      <c r="G34" s="207">
        <v>1</v>
      </c>
      <c r="H34" s="206"/>
      <c r="I34" s="209"/>
      <c r="J34" s="241"/>
      <c r="K34" s="233" t="s">
        <v>1366</v>
      </c>
      <c r="L34" s="233"/>
      <c r="M34" s="209">
        <v>0.35</v>
      </c>
      <c r="N34" s="13">
        <v>18</v>
      </c>
      <c r="O34" s="18">
        <f t="shared" si="5"/>
        <v>6.3</v>
      </c>
      <c r="P34" s="209"/>
      <c r="Q34" s="308">
        <f t="shared" si="3"/>
        <v>0</v>
      </c>
      <c r="R34" s="226"/>
      <c r="S34" s="306">
        <f>R34+Q34+O34</f>
        <v>6.3</v>
      </c>
    </row>
    <row r="35" spans="1:19" x14ac:dyDescent="0.2">
      <c r="A35" s="302" t="s">
        <v>366</v>
      </c>
      <c r="B35" s="36" t="s">
        <v>571</v>
      </c>
      <c r="C35" s="1">
        <v>13</v>
      </c>
      <c r="D35" s="44"/>
      <c r="E35" s="36" t="s">
        <v>264</v>
      </c>
      <c r="F35" s="1" t="s">
        <v>308</v>
      </c>
      <c r="G35" s="1">
        <v>1</v>
      </c>
      <c r="H35" s="36">
        <v>0.62</v>
      </c>
      <c r="I35" s="306">
        <v>10</v>
      </c>
      <c r="J35" s="251"/>
      <c r="K35" s="102" t="s">
        <v>234</v>
      </c>
      <c r="L35" s="102"/>
      <c r="M35" s="18">
        <v>1.72</v>
      </c>
      <c r="N35" s="47">
        <f>'PRECIOS INSUMOS 2015'!C$5</f>
        <v>2</v>
      </c>
      <c r="O35" s="18">
        <f t="shared" si="5"/>
        <v>3.44</v>
      </c>
      <c r="P35" s="18">
        <v>1.6129032258064517</v>
      </c>
      <c r="Q35" s="308">
        <f t="shared" si="3"/>
        <v>129.03225806451613</v>
      </c>
      <c r="R35" s="226"/>
      <c r="S35" s="57">
        <f>O35+Q35+R35</f>
        <v>132.47225806451613</v>
      </c>
    </row>
    <row r="36" spans="1:19" x14ac:dyDescent="0.2">
      <c r="A36" s="302" t="s">
        <v>368</v>
      </c>
      <c r="B36" s="206" t="s">
        <v>263</v>
      </c>
      <c r="C36" s="207">
        <v>18</v>
      </c>
      <c r="D36" s="207"/>
      <c r="E36" s="206" t="s">
        <v>264</v>
      </c>
      <c r="F36" s="207" t="s">
        <v>308</v>
      </c>
      <c r="G36" s="207">
        <v>1</v>
      </c>
      <c r="H36" s="206"/>
      <c r="I36" s="209"/>
      <c r="J36" s="209"/>
      <c r="K36" s="233" t="s">
        <v>1366</v>
      </c>
      <c r="L36" s="233"/>
      <c r="M36" s="209">
        <v>0.35</v>
      </c>
      <c r="N36" s="13">
        <v>18</v>
      </c>
      <c r="O36" s="18">
        <f t="shared" si="5"/>
        <v>6.3</v>
      </c>
      <c r="P36" s="209"/>
      <c r="Q36" s="308">
        <f t="shared" si="3"/>
        <v>0</v>
      </c>
      <c r="R36" s="226"/>
      <c r="S36" s="306">
        <f>R36+Q36+O36</f>
        <v>6.3</v>
      </c>
    </row>
    <row r="37" spans="1:19" x14ac:dyDescent="0.2">
      <c r="A37" s="302" t="s">
        <v>369</v>
      </c>
      <c r="B37" s="36" t="s">
        <v>571</v>
      </c>
      <c r="C37" s="1">
        <v>18</v>
      </c>
      <c r="D37" s="44"/>
      <c r="E37" s="36" t="s">
        <v>264</v>
      </c>
      <c r="F37" s="1" t="s">
        <v>308</v>
      </c>
      <c r="G37" s="1">
        <v>1</v>
      </c>
      <c r="H37" s="36">
        <v>0.62</v>
      </c>
      <c r="I37" s="306">
        <v>10</v>
      </c>
      <c r="J37" s="18"/>
      <c r="K37" s="102" t="s">
        <v>234</v>
      </c>
      <c r="L37" s="102"/>
      <c r="M37" s="18">
        <v>1.72</v>
      </c>
      <c r="N37" s="47">
        <f>'PRECIOS INSUMOS 2015'!C$5</f>
        <v>2</v>
      </c>
      <c r="O37" s="18">
        <f t="shared" si="5"/>
        <v>3.44</v>
      </c>
      <c r="P37" s="18">
        <v>1.6129032258064517</v>
      </c>
      <c r="Q37" s="308">
        <f t="shared" si="3"/>
        <v>129.03225806451613</v>
      </c>
      <c r="R37" s="226"/>
      <c r="S37" s="57">
        <f>O37+Q37+R37</f>
        <v>132.47225806451613</v>
      </c>
    </row>
    <row r="38" spans="1:19" x14ac:dyDescent="0.2">
      <c r="A38" s="302" t="s">
        <v>370</v>
      </c>
      <c r="B38" s="206" t="s">
        <v>263</v>
      </c>
      <c r="C38" s="207">
        <v>24</v>
      </c>
      <c r="D38" s="207"/>
      <c r="E38" s="206" t="s">
        <v>264</v>
      </c>
      <c r="F38" s="207" t="s">
        <v>308</v>
      </c>
      <c r="G38" s="207">
        <v>1</v>
      </c>
      <c r="H38" s="206"/>
      <c r="I38" s="209"/>
      <c r="J38" s="209"/>
      <c r="K38" s="233" t="s">
        <v>1366</v>
      </c>
      <c r="L38" s="233"/>
      <c r="M38" s="209">
        <v>0.35</v>
      </c>
      <c r="N38" s="13">
        <v>18</v>
      </c>
      <c r="O38" s="18">
        <f t="shared" si="5"/>
        <v>6.3</v>
      </c>
      <c r="P38" s="209"/>
      <c r="Q38" s="308">
        <f t="shared" si="3"/>
        <v>0</v>
      </c>
      <c r="R38" s="226"/>
      <c r="S38" s="306">
        <f>R38+Q38+O38</f>
        <v>6.3</v>
      </c>
    </row>
    <row r="39" spans="1:19" x14ac:dyDescent="0.2">
      <c r="A39" s="302" t="s">
        <v>371</v>
      </c>
      <c r="B39" s="36" t="s">
        <v>571</v>
      </c>
      <c r="C39" s="1">
        <v>24</v>
      </c>
      <c r="D39" s="44"/>
      <c r="E39" s="36" t="s">
        <v>264</v>
      </c>
      <c r="F39" s="1" t="s">
        <v>308</v>
      </c>
      <c r="G39" s="1">
        <v>1</v>
      </c>
      <c r="H39" s="36">
        <v>0.62</v>
      </c>
      <c r="I39" s="306">
        <v>10</v>
      </c>
      <c r="J39" s="18"/>
      <c r="K39" s="102" t="s">
        <v>234</v>
      </c>
      <c r="L39" s="102"/>
      <c r="M39" s="18">
        <v>1.72</v>
      </c>
      <c r="N39" s="47">
        <f>'PRECIOS INSUMOS 2015'!C$5</f>
        <v>2</v>
      </c>
      <c r="O39" s="18">
        <f t="shared" si="5"/>
        <v>3.44</v>
      </c>
      <c r="P39" s="18">
        <v>1.6129032258064517</v>
      </c>
      <c r="Q39" s="308">
        <f t="shared" si="3"/>
        <v>129.03225806451613</v>
      </c>
      <c r="R39" s="226"/>
      <c r="S39" s="57">
        <f>O39+Q39+R39</f>
        <v>132.47225806451613</v>
      </c>
    </row>
    <row r="40" spans="1:19" x14ac:dyDescent="0.2">
      <c r="A40" s="302" t="s">
        <v>372</v>
      </c>
      <c r="B40" s="206" t="s">
        <v>269</v>
      </c>
      <c r="C40" s="207">
        <v>27</v>
      </c>
      <c r="D40" s="304" t="s">
        <v>257</v>
      </c>
      <c r="E40" s="206" t="s">
        <v>360</v>
      </c>
      <c r="F40" s="207" t="s">
        <v>308</v>
      </c>
      <c r="G40" s="207">
        <v>1</v>
      </c>
      <c r="H40" s="206">
        <v>2.8</v>
      </c>
      <c r="I40" s="306">
        <v>10</v>
      </c>
      <c r="J40" s="209"/>
      <c r="K40" s="233" t="s">
        <v>234</v>
      </c>
      <c r="L40" s="233"/>
      <c r="M40" s="209">
        <f>97.97/13.42</f>
        <v>7.3002980625931446</v>
      </c>
      <c r="N40" s="47">
        <f>'PRECIOS INSUMOS 2015'!C$5</f>
        <v>2</v>
      </c>
      <c r="O40" s="18">
        <f t="shared" si="5"/>
        <v>14.600596125186289</v>
      </c>
      <c r="P40" s="209">
        <f>G40/H40</f>
        <v>0.35714285714285715</v>
      </c>
      <c r="Q40" s="308">
        <f t="shared" si="3"/>
        <v>28.571428571428573</v>
      </c>
      <c r="R40" s="226"/>
      <c r="S40" s="306">
        <f>R40+Q40+O40</f>
        <v>43.172024696614862</v>
      </c>
    </row>
    <row r="41" spans="1:19" x14ac:dyDescent="0.2">
      <c r="A41" s="302" t="s">
        <v>373</v>
      </c>
      <c r="B41" s="206" t="s">
        <v>263</v>
      </c>
      <c r="C41" s="207">
        <v>29</v>
      </c>
      <c r="D41" s="304"/>
      <c r="E41" s="206" t="s">
        <v>264</v>
      </c>
      <c r="F41" s="207" t="s">
        <v>308</v>
      </c>
      <c r="G41" s="207">
        <v>1</v>
      </c>
      <c r="H41" s="206"/>
      <c r="I41" s="209"/>
      <c r="J41" s="241"/>
      <c r="K41" s="233" t="s">
        <v>1366</v>
      </c>
      <c r="L41" s="233"/>
      <c r="M41" s="209">
        <v>0.35</v>
      </c>
      <c r="N41" s="13">
        <v>18</v>
      </c>
      <c r="O41" s="18">
        <f t="shared" si="5"/>
        <v>6.3</v>
      </c>
      <c r="P41" s="209"/>
      <c r="Q41" s="308">
        <f t="shared" si="3"/>
        <v>0</v>
      </c>
      <c r="R41" s="226"/>
      <c r="S41" s="306">
        <f>R41+Q41+O41</f>
        <v>6.3</v>
      </c>
    </row>
    <row r="42" spans="1:19" x14ac:dyDescent="0.2">
      <c r="A42" s="302" t="s">
        <v>374</v>
      </c>
      <c r="B42" s="36" t="s">
        <v>571</v>
      </c>
      <c r="C42" s="1">
        <v>29</v>
      </c>
      <c r="D42" s="44"/>
      <c r="E42" s="36" t="s">
        <v>264</v>
      </c>
      <c r="F42" s="1" t="s">
        <v>308</v>
      </c>
      <c r="G42" s="1">
        <v>1</v>
      </c>
      <c r="H42" s="36">
        <v>0.62</v>
      </c>
      <c r="I42" s="306">
        <v>10</v>
      </c>
      <c r="J42" s="251"/>
      <c r="K42" s="102" t="s">
        <v>234</v>
      </c>
      <c r="L42" s="102"/>
      <c r="M42" s="18">
        <v>1.72</v>
      </c>
      <c r="N42" s="47">
        <f>'PRECIOS INSUMOS 2015'!C$5</f>
        <v>2</v>
      </c>
      <c r="O42" s="18">
        <f t="shared" si="5"/>
        <v>3.44</v>
      </c>
      <c r="P42" s="18">
        <v>1.6129032258064517</v>
      </c>
      <c r="Q42" s="308">
        <f t="shared" si="3"/>
        <v>129.03225806451613</v>
      </c>
      <c r="R42" s="226"/>
      <c r="S42" s="57">
        <f>O42+Q42+R42</f>
        <v>132.47225806451613</v>
      </c>
    </row>
    <row r="43" spans="1:19" x14ac:dyDescent="0.2">
      <c r="A43" s="302" t="s">
        <v>376</v>
      </c>
      <c r="B43" s="206" t="s">
        <v>363</v>
      </c>
      <c r="C43" s="207">
        <v>32</v>
      </c>
      <c r="D43" s="1" t="s">
        <v>266</v>
      </c>
      <c r="E43" s="206" t="s">
        <v>266</v>
      </c>
      <c r="F43" s="207" t="s">
        <v>308</v>
      </c>
      <c r="G43" s="207">
        <v>1</v>
      </c>
      <c r="H43" s="206">
        <v>8.3000000000000004E-2</v>
      </c>
      <c r="I43" s="209"/>
      <c r="J43" s="209">
        <v>10</v>
      </c>
      <c r="K43" s="233"/>
      <c r="L43" s="233"/>
      <c r="M43" s="209"/>
      <c r="N43" s="13"/>
      <c r="O43" s="18">
        <f t="shared" si="5"/>
        <v>0</v>
      </c>
      <c r="P43" s="209">
        <f>G43/H43</f>
        <v>12.048192771084336</v>
      </c>
      <c r="Q43" s="308">
        <f t="shared" si="3"/>
        <v>963.85542168674692</v>
      </c>
      <c r="R43" s="226"/>
      <c r="S43" s="306">
        <f>R43+Q43+O43</f>
        <v>963.85542168674692</v>
      </c>
    </row>
    <row r="44" spans="1:19" x14ac:dyDescent="0.2">
      <c r="A44" s="302" t="s">
        <v>377</v>
      </c>
      <c r="B44" s="206" t="s">
        <v>365</v>
      </c>
      <c r="C44" s="207">
        <v>36</v>
      </c>
      <c r="D44" s="304"/>
      <c r="E44" s="206" t="s">
        <v>264</v>
      </c>
      <c r="F44" s="207" t="s">
        <v>308</v>
      </c>
      <c r="G44" s="207">
        <v>1</v>
      </c>
      <c r="H44" s="206"/>
      <c r="I44" s="209"/>
      <c r="J44" s="209"/>
      <c r="K44" s="233" t="s">
        <v>1366</v>
      </c>
      <c r="L44" s="233"/>
      <c r="M44" s="209">
        <v>0.35</v>
      </c>
      <c r="N44" s="13">
        <v>18</v>
      </c>
      <c r="O44" s="18">
        <f t="shared" si="5"/>
        <v>6.3</v>
      </c>
      <c r="P44" s="209"/>
      <c r="Q44" s="308">
        <f t="shared" si="3"/>
        <v>0</v>
      </c>
      <c r="R44" s="226"/>
      <c r="S44" s="306">
        <f>R44+Q44+O44</f>
        <v>6.3</v>
      </c>
    </row>
    <row r="45" spans="1:19" x14ac:dyDescent="0.2">
      <c r="A45" s="302" t="s">
        <v>378</v>
      </c>
      <c r="B45" s="36" t="s">
        <v>571</v>
      </c>
      <c r="C45" s="1">
        <v>36</v>
      </c>
      <c r="D45" s="44"/>
      <c r="E45" s="36" t="s">
        <v>264</v>
      </c>
      <c r="F45" s="1" t="s">
        <v>308</v>
      </c>
      <c r="G45" s="1">
        <v>1</v>
      </c>
      <c r="H45" s="36">
        <v>0.62</v>
      </c>
      <c r="I45" s="306">
        <v>10</v>
      </c>
      <c r="J45" s="18"/>
      <c r="K45" s="102" t="s">
        <v>234</v>
      </c>
      <c r="L45" s="102"/>
      <c r="M45" s="18">
        <v>1.72</v>
      </c>
      <c r="N45" s="47">
        <f>'PRECIOS INSUMOS 2015'!C$5</f>
        <v>2</v>
      </c>
      <c r="O45" s="18">
        <f t="shared" si="5"/>
        <v>3.44</v>
      </c>
      <c r="P45" s="18">
        <v>1.6129032258064517</v>
      </c>
      <c r="Q45" s="308">
        <f t="shared" si="3"/>
        <v>129.03225806451613</v>
      </c>
      <c r="R45" s="226"/>
      <c r="S45" s="57">
        <f>O45+Q45+R45</f>
        <v>132.47225806451613</v>
      </c>
    </row>
    <row r="46" spans="1:19" x14ac:dyDescent="0.2">
      <c r="A46" s="302" t="s">
        <v>379</v>
      </c>
      <c r="B46" s="206" t="s">
        <v>274</v>
      </c>
      <c r="C46" s="207">
        <v>37</v>
      </c>
      <c r="D46" s="207" t="s">
        <v>266</v>
      </c>
      <c r="E46" s="206" t="s">
        <v>267</v>
      </c>
      <c r="F46" s="207" t="s">
        <v>291</v>
      </c>
      <c r="G46" s="207">
        <v>1</v>
      </c>
      <c r="H46" s="206">
        <v>0.5</v>
      </c>
      <c r="I46" s="209"/>
      <c r="J46" s="209">
        <v>10</v>
      </c>
      <c r="K46" s="233" t="s">
        <v>285</v>
      </c>
      <c r="L46" s="233"/>
      <c r="M46" s="209">
        <v>2</v>
      </c>
      <c r="N46" s="13">
        <f>'PRECIOS INSUMOS 2015'!C$102</f>
        <v>39</v>
      </c>
      <c r="O46" s="18">
        <f t="shared" si="5"/>
        <v>78</v>
      </c>
      <c r="P46" s="209">
        <f>G46/H46</f>
        <v>2</v>
      </c>
      <c r="Q46" s="308">
        <f t="shared" si="3"/>
        <v>160</v>
      </c>
      <c r="R46" s="226"/>
      <c r="S46" s="306">
        <f>R46+Q46+O46</f>
        <v>238</v>
      </c>
    </row>
    <row r="47" spans="1:19" ht="13.5" thickBot="1" x14ac:dyDescent="0.25">
      <c r="A47" s="302" t="s">
        <v>380</v>
      </c>
      <c r="B47" s="381" t="s">
        <v>367</v>
      </c>
      <c r="C47" s="244">
        <v>38</v>
      </c>
      <c r="D47" s="244" t="s">
        <v>257</v>
      </c>
      <c r="E47" s="381" t="s">
        <v>360</v>
      </c>
      <c r="F47" s="244" t="s">
        <v>308</v>
      </c>
      <c r="G47" s="244">
        <v>1</v>
      </c>
      <c r="H47" s="381">
        <v>2.8</v>
      </c>
      <c r="I47" s="306">
        <v>10</v>
      </c>
      <c r="J47" s="246"/>
      <c r="K47" s="394" t="s">
        <v>234</v>
      </c>
      <c r="L47" s="394"/>
      <c r="M47" s="247">
        <f>97.97/13.42</f>
        <v>7.3002980625931446</v>
      </c>
      <c r="N47" s="47">
        <f>'PRECIOS INSUMOS 2015'!C$5</f>
        <v>2</v>
      </c>
      <c r="O47" s="59">
        <f t="shared" si="5"/>
        <v>14.600596125186289</v>
      </c>
      <c r="P47" s="247">
        <f>G47/H47</f>
        <v>0.35714285714285715</v>
      </c>
      <c r="Q47" s="308">
        <f t="shared" si="3"/>
        <v>28.571428571428573</v>
      </c>
      <c r="R47" s="56"/>
      <c r="S47" s="247">
        <f>R47+Q47+O47</f>
        <v>43.172024696614862</v>
      </c>
    </row>
    <row r="48" spans="1:19" x14ac:dyDescent="0.2">
      <c r="A48" s="302" t="s">
        <v>381</v>
      </c>
      <c r="B48" s="206" t="s">
        <v>365</v>
      </c>
      <c r="C48" s="207">
        <v>41</v>
      </c>
      <c r="D48" s="304"/>
      <c r="E48" s="206" t="s">
        <v>264</v>
      </c>
      <c r="F48" s="207" t="s">
        <v>308</v>
      </c>
      <c r="G48" s="207">
        <v>1</v>
      </c>
      <c r="H48" s="206"/>
      <c r="I48" s="209"/>
      <c r="J48" s="209"/>
      <c r="K48" s="233" t="s">
        <v>1366</v>
      </c>
      <c r="L48" s="233"/>
      <c r="M48" s="209">
        <v>0.35</v>
      </c>
      <c r="N48" s="13">
        <v>18</v>
      </c>
      <c r="O48" s="18">
        <f t="shared" si="5"/>
        <v>6.3</v>
      </c>
      <c r="P48" s="209"/>
      <c r="Q48" s="308">
        <f t="shared" si="3"/>
        <v>0</v>
      </c>
      <c r="R48" s="226"/>
      <c r="S48" s="306">
        <f>R48+Q48+O48</f>
        <v>6.3</v>
      </c>
    </row>
    <row r="49" spans="1:19" ht="13.5" thickBot="1" x14ac:dyDescent="0.25">
      <c r="A49" s="302" t="s">
        <v>382</v>
      </c>
      <c r="B49" s="36" t="s">
        <v>571</v>
      </c>
      <c r="C49" s="1">
        <v>41</v>
      </c>
      <c r="D49" s="1"/>
      <c r="E49" s="36" t="s">
        <v>264</v>
      </c>
      <c r="F49" s="1" t="s">
        <v>308</v>
      </c>
      <c r="G49" s="1">
        <v>1</v>
      </c>
      <c r="H49" s="36">
        <v>0.62</v>
      </c>
      <c r="I49" s="306">
        <v>10</v>
      </c>
      <c r="J49" s="18"/>
      <c r="K49" s="102" t="s">
        <v>234</v>
      </c>
      <c r="L49" s="102"/>
      <c r="M49" s="18">
        <v>1.72</v>
      </c>
      <c r="N49" s="47">
        <f>'PRECIOS INSUMOS 2015'!C$5</f>
        <v>2</v>
      </c>
      <c r="O49" s="59">
        <f t="shared" si="5"/>
        <v>3.44</v>
      </c>
      <c r="P49" s="18">
        <v>1.6129032258064517</v>
      </c>
      <c r="Q49" s="308">
        <f t="shared" si="3"/>
        <v>129.03225806451613</v>
      </c>
      <c r="R49" s="226"/>
      <c r="S49" s="57">
        <f>O49+Q49+R49</f>
        <v>132.47225806451613</v>
      </c>
    </row>
    <row r="50" spans="1:19" x14ac:dyDescent="0.2">
      <c r="A50" s="302" t="s">
        <v>383</v>
      </c>
      <c r="B50" s="206" t="s">
        <v>263</v>
      </c>
      <c r="C50" s="207">
        <v>48</v>
      </c>
      <c r="D50" s="304"/>
      <c r="E50" s="206" t="s">
        <v>264</v>
      </c>
      <c r="F50" s="207" t="s">
        <v>308</v>
      </c>
      <c r="G50" s="207">
        <v>1</v>
      </c>
      <c r="H50" s="206"/>
      <c r="I50" s="209"/>
      <c r="J50" s="209"/>
      <c r="K50" s="233" t="s">
        <v>1366</v>
      </c>
      <c r="L50" s="233"/>
      <c r="M50" s="209">
        <v>0.35</v>
      </c>
      <c r="N50" s="13">
        <v>18</v>
      </c>
      <c r="O50" s="18">
        <f t="shared" si="5"/>
        <v>6.3</v>
      </c>
      <c r="P50" s="209"/>
      <c r="Q50" s="308">
        <f t="shared" si="3"/>
        <v>0</v>
      </c>
      <c r="R50" s="226"/>
      <c r="S50" s="306">
        <f>R50+Q50+O50</f>
        <v>6.3</v>
      </c>
    </row>
    <row r="51" spans="1:19" ht="13.5" thickBot="1" x14ac:dyDescent="0.25">
      <c r="A51" s="302" t="s">
        <v>384</v>
      </c>
      <c r="B51" s="36" t="s">
        <v>571</v>
      </c>
      <c r="C51" s="1">
        <v>48</v>
      </c>
      <c r="D51" s="44"/>
      <c r="E51" s="36" t="s">
        <v>264</v>
      </c>
      <c r="F51" s="1" t="s">
        <v>308</v>
      </c>
      <c r="G51" s="1">
        <v>1</v>
      </c>
      <c r="H51" s="36">
        <v>0.62</v>
      </c>
      <c r="I51" s="306">
        <v>10</v>
      </c>
      <c r="J51" s="18"/>
      <c r="K51" s="102" t="s">
        <v>234</v>
      </c>
      <c r="L51" s="102"/>
      <c r="M51" s="18">
        <v>1.72</v>
      </c>
      <c r="N51" s="47">
        <f>'PRECIOS INSUMOS 2015'!C$5</f>
        <v>2</v>
      </c>
      <c r="O51" s="59">
        <f t="shared" si="5"/>
        <v>3.44</v>
      </c>
      <c r="P51" s="18">
        <v>1.6129032258064517</v>
      </c>
      <c r="Q51" s="308">
        <f t="shared" si="3"/>
        <v>129.03225806451613</v>
      </c>
      <c r="R51" s="226"/>
      <c r="S51" s="57">
        <f>O51+Q51+R51</f>
        <v>132.47225806451613</v>
      </c>
    </row>
    <row r="52" spans="1:19" x14ac:dyDescent="0.2">
      <c r="A52" s="302" t="s">
        <v>386</v>
      </c>
      <c r="B52" s="206" t="s">
        <v>269</v>
      </c>
      <c r="C52" s="207">
        <v>51</v>
      </c>
      <c r="D52" s="304" t="s">
        <v>257</v>
      </c>
      <c r="E52" s="206" t="s">
        <v>360</v>
      </c>
      <c r="F52" s="207" t="s">
        <v>308</v>
      </c>
      <c r="G52" s="207">
        <v>1</v>
      </c>
      <c r="H52" s="206">
        <v>2.8</v>
      </c>
      <c r="I52" s="306">
        <v>10</v>
      </c>
      <c r="J52" s="209"/>
      <c r="K52" s="233" t="s">
        <v>234</v>
      </c>
      <c r="L52" s="233"/>
      <c r="M52" s="209">
        <f>97.97/13.42</f>
        <v>7.3002980625931446</v>
      </c>
      <c r="N52" s="47">
        <f>'PRECIOS INSUMOS 2015'!C$5</f>
        <v>2</v>
      </c>
      <c r="O52" s="18">
        <f t="shared" si="5"/>
        <v>14.600596125186289</v>
      </c>
      <c r="P52" s="209">
        <f>G52/H52</f>
        <v>0.35714285714285715</v>
      </c>
      <c r="Q52" s="308">
        <f t="shared" si="3"/>
        <v>28.571428571428573</v>
      </c>
      <c r="R52" s="226"/>
      <c r="S52" s="306">
        <f>R52+Q52+O52</f>
        <v>43.172024696614862</v>
      </c>
    </row>
    <row r="53" spans="1:19" x14ac:dyDescent="0.2">
      <c r="A53" s="302" t="s">
        <v>387</v>
      </c>
      <c r="B53" s="206" t="s">
        <v>363</v>
      </c>
      <c r="C53" s="207">
        <v>53</v>
      </c>
      <c r="D53" s="44" t="s">
        <v>266</v>
      </c>
      <c r="E53" s="206" t="s">
        <v>266</v>
      </c>
      <c r="F53" s="207" t="s">
        <v>308</v>
      </c>
      <c r="G53" s="207">
        <v>1</v>
      </c>
      <c r="H53" s="206">
        <v>8.3000000000000004E-2</v>
      </c>
      <c r="I53" s="209"/>
      <c r="J53" s="209">
        <v>10</v>
      </c>
      <c r="K53" s="233"/>
      <c r="L53" s="233"/>
      <c r="M53" s="209"/>
      <c r="N53" s="13"/>
      <c r="O53" s="18">
        <f t="shared" si="5"/>
        <v>0</v>
      </c>
      <c r="P53" s="209"/>
      <c r="Q53" s="308">
        <f t="shared" si="3"/>
        <v>0</v>
      </c>
      <c r="R53" s="226"/>
      <c r="S53" s="306">
        <f>R53+Q53+O53</f>
        <v>0</v>
      </c>
    </row>
    <row r="54" spans="1:19" x14ac:dyDescent="0.2">
      <c r="A54" s="302" t="s">
        <v>389</v>
      </c>
      <c r="B54" s="206" t="s">
        <v>263</v>
      </c>
      <c r="C54" s="207">
        <v>55</v>
      </c>
      <c r="D54" s="304"/>
      <c r="E54" s="206" t="s">
        <v>264</v>
      </c>
      <c r="F54" s="207" t="s">
        <v>308</v>
      </c>
      <c r="G54" s="207">
        <v>1</v>
      </c>
      <c r="H54" s="206"/>
      <c r="I54" s="209"/>
      <c r="J54" s="209"/>
      <c r="K54" s="233" t="s">
        <v>1366</v>
      </c>
      <c r="L54" s="233"/>
      <c r="M54" s="209">
        <v>0.35</v>
      </c>
      <c r="N54" s="13">
        <v>18</v>
      </c>
      <c r="O54" s="18">
        <f t="shared" si="5"/>
        <v>6.3</v>
      </c>
      <c r="P54" s="209"/>
      <c r="Q54" s="308">
        <f t="shared" si="3"/>
        <v>0</v>
      </c>
      <c r="R54" s="226"/>
      <c r="S54" s="306">
        <f>R54+Q54+O54</f>
        <v>6.3</v>
      </c>
    </row>
    <row r="55" spans="1:19" x14ac:dyDescent="0.2">
      <c r="A55" s="302" t="s">
        <v>391</v>
      </c>
      <c r="B55" s="36" t="s">
        <v>571</v>
      </c>
      <c r="C55" s="1">
        <v>55</v>
      </c>
      <c r="D55" s="44"/>
      <c r="E55" s="36" t="s">
        <v>264</v>
      </c>
      <c r="F55" s="1" t="s">
        <v>308</v>
      </c>
      <c r="G55" s="1">
        <v>1</v>
      </c>
      <c r="H55" s="36">
        <v>0.62</v>
      </c>
      <c r="I55" s="306">
        <v>10</v>
      </c>
      <c r="J55" s="18"/>
      <c r="K55" s="102" t="s">
        <v>234</v>
      </c>
      <c r="L55" s="102"/>
      <c r="M55" s="18">
        <v>1.72</v>
      </c>
      <c r="N55" s="47">
        <f>'PRECIOS INSUMOS 2015'!C$5</f>
        <v>2</v>
      </c>
      <c r="O55" s="18">
        <v>1.75</v>
      </c>
      <c r="P55" s="18">
        <v>1.6129032258064517</v>
      </c>
      <c r="Q55" s="308">
        <f t="shared" si="3"/>
        <v>129.03225806451613</v>
      </c>
      <c r="R55" s="226"/>
      <c r="S55" s="57">
        <f>O55+Q55+R55</f>
        <v>130.78225806451613</v>
      </c>
    </row>
    <row r="56" spans="1:19" x14ac:dyDescent="0.2">
      <c r="A56" s="302" t="s">
        <v>392</v>
      </c>
      <c r="B56" s="206" t="s">
        <v>331</v>
      </c>
      <c r="C56" s="207">
        <v>57</v>
      </c>
      <c r="D56" s="304" t="s">
        <v>257</v>
      </c>
      <c r="E56" s="212" t="s">
        <v>305</v>
      </c>
      <c r="F56" s="207" t="s">
        <v>436</v>
      </c>
      <c r="G56" s="207">
        <v>0.6</v>
      </c>
      <c r="H56" s="206">
        <v>1.49</v>
      </c>
      <c r="I56" s="306">
        <v>10</v>
      </c>
      <c r="J56" s="209"/>
      <c r="K56" s="233" t="s">
        <v>234</v>
      </c>
      <c r="L56" s="233"/>
      <c r="M56" s="209">
        <f>0.86*0.6</f>
        <v>0.51600000000000001</v>
      </c>
      <c r="N56" s="47">
        <f>'PRECIOS INSUMOS 2015'!C$5</f>
        <v>2</v>
      </c>
      <c r="O56" s="18">
        <f t="shared" ref="O56:O115" si="7">N56*M56</f>
        <v>1.032</v>
      </c>
      <c r="P56" s="209">
        <f>G56/H56</f>
        <v>0.40268456375838924</v>
      </c>
      <c r="Q56" s="308">
        <f t="shared" si="3"/>
        <v>32.214765100671137</v>
      </c>
      <c r="R56" s="226"/>
      <c r="S56" s="306">
        <f>R56+Q56+O56</f>
        <v>33.246765100671141</v>
      </c>
    </row>
    <row r="57" spans="1:19" x14ac:dyDescent="0.2">
      <c r="A57" s="302" t="s">
        <v>393</v>
      </c>
      <c r="B57" s="211" t="s">
        <v>375</v>
      </c>
      <c r="C57" s="207">
        <v>57</v>
      </c>
      <c r="D57" s="304" t="s">
        <v>266</v>
      </c>
      <c r="E57" s="206" t="s">
        <v>266</v>
      </c>
      <c r="F57" s="207" t="s">
        <v>436</v>
      </c>
      <c r="G57" s="207">
        <v>0.6</v>
      </c>
      <c r="H57" s="206">
        <v>0.17</v>
      </c>
      <c r="I57" s="209"/>
      <c r="J57" s="209">
        <v>10</v>
      </c>
      <c r="K57" s="233" t="s">
        <v>632</v>
      </c>
      <c r="L57" s="233"/>
      <c r="M57" s="209">
        <v>0.6</v>
      </c>
      <c r="N57" s="13">
        <f>'PRECIOS INSUMOS 2015'!E$158</f>
        <v>2000</v>
      </c>
      <c r="O57" s="18">
        <f t="shared" si="7"/>
        <v>1200</v>
      </c>
      <c r="P57" s="209">
        <f>G57/H57</f>
        <v>3.5294117647058818</v>
      </c>
      <c r="Q57" s="308">
        <f t="shared" si="3"/>
        <v>282.35294117647055</v>
      </c>
      <c r="R57" s="226"/>
      <c r="S57" s="306">
        <f>R57+Q57+O57</f>
        <v>1482.3529411764705</v>
      </c>
    </row>
    <row r="58" spans="1:19" x14ac:dyDescent="0.2">
      <c r="A58" s="302" t="s">
        <v>395</v>
      </c>
      <c r="B58" s="385" t="s">
        <v>306</v>
      </c>
      <c r="C58" s="375">
        <v>58</v>
      </c>
      <c r="D58" s="304" t="s">
        <v>257</v>
      </c>
      <c r="E58" s="206" t="s">
        <v>360</v>
      </c>
      <c r="F58" s="375" t="s">
        <v>308</v>
      </c>
      <c r="G58" s="375">
        <v>1</v>
      </c>
      <c r="H58" s="374">
        <v>2.8</v>
      </c>
      <c r="I58" s="306">
        <v>10</v>
      </c>
      <c r="J58" s="209"/>
      <c r="K58" s="233" t="s">
        <v>234</v>
      </c>
      <c r="L58" s="233"/>
      <c r="M58" s="209">
        <f>97.97/13.42</f>
        <v>7.3002980625931446</v>
      </c>
      <c r="N58" s="47">
        <f>'PRECIOS INSUMOS 2015'!C$5</f>
        <v>2</v>
      </c>
      <c r="O58" s="18">
        <f t="shared" si="7"/>
        <v>14.600596125186289</v>
      </c>
      <c r="P58" s="209">
        <f>G58/H58</f>
        <v>0.35714285714285715</v>
      </c>
      <c r="Q58" s="308">
        <f t="shared" si="3"/>
        <v>28.571428571428573</v>
      </c>
      <c r="R58" s="226"/>
      <c r="S58" s="306">
        <f>R58+Q58+O58</f>
        <v>43.172024696614862</v>
      </c>
    </row>
    <row r="59" spans="1:19" x14ac:dyDescent="0.2">
      <c r="A59" s="302" t="s">
        <v>396</v>
      </c>
      <c r="B59" s="206" t="s">
        <v>263</v>
      </c>
      <c r="C59" s="207">
        <v>59</v>
      </c>
      <c r="D59" s="304"/>
      <c r="E59" s="206" t="s">
        <v>264</v>
      </c>
      <c r="F59" s="207" t="s">
        <v>308</v>
      </c>
      <c r="G59" s="207">
        <v>1</v>
      </c>
      <c r="H59" s="206"/>
      <c r="I59" s="209"/>
      <c r="J59" s="209"/>
      <c r="K59" s="233" t="s">
        <v>1366</v>
      </c>
      <c r="L59" s="233"/>
      <c r="M59" s="209">
        <v>0.35</v>
      </c>
      <c r="N59" s="13">
        <v>18</v>
      </c>
      <c r="O59" s="18">
        <f t="shared" si="7"/>
        <v>6.3</v>
      </c>
      <c r="P59" s="209"/>
      <c r="Q59" s="308">
        <f t="shared" si="3"/>
        <v>0</v>
      </c>
      <c r="R59" s="226"/>
      <c r="S59" s="306">
        <f>R59+Q59+O59</f>
        <v>6.3</v>
      </c>
    </row>
    <row r="60" spans="1:19" x14ac:dyDescent="0.2">
      <c r="A60" s="302" t="s">
        <v>397</v>
      </c>
      <c r="B60" s="36" t="s">
        <v>571</v>
      </c>
      <c r="C60" s="1">
        <v>59</v>
      </c>
      <c r="D60" s="44"/>
      <c r="E60" s="36" t="s">
        <v>264</v>
      </c>
      <c r="F60" s="1" t="s">
        <v>308</v>
      </c>
      <c r="G60" s="1">
        <v>1</v>
      </c>
      <c r="H60" s="36">
        <v>0.62</v>
      </c>
      <c r="I60" s="306">
        <v>10</v>
      </c>
      <c r="J60" s="18"/>
      <c r="K60" s="102" t="s">
        <v>234</v>
      </c>
      <c r="L60" s="102"/>
      <c r="M60" s="18">
        <v>1.72</v>
      </c>
      <c r="N60" s="47">
        <f>'PRECIOS INSUMOS 2015'!C$5</f>
        <v>2</v>
      </c>
      <c r="O60" s="18">
        <f t="shared" si="7"/>
        <v>3.44</v>
      </c>
      <c r="P60" s="18">
        <v>1.6129032258064517</v>
      </c>
      <c r="Q60" s="308">
        <f t="shared" si="3"/>
        <v>129.03225806451613</v>
      </c>
      <c r="R60" s="226"/>
      <c r="S60" s="57">
        <f>O60+Q60+R60</f>
        <v>132.47225806451613</v>
      </c>
    </row>
    <row r="61" spans="1:19" x14ac:dyDescent="0.2">
      <c r="A61" s="302" t="s">
        <v>398</v>
      </c>
      <c r="B61" s="206" t="s">
        <v>274</v>
      </c>
      <c r="C61" s="207">
        <v>61</v>
      </c>
      <c r="D61" s="304" t="s">
        <v>266</v>
      </c>
      <c r="E61" s="206" t="s">
        <v>267</v>
      </c>
      <c r="F61" s="207" t="s">
        <v>291</v>
      </c>
      <c r="G61" s="207">
        <v>1</v>
      </c>
      <c r="H61" s="206">
        <v>0.5</v>
      </c>
      <c r="I61" s="209"/>
      <c r="J61" s="209">
        <v>10</v>
      </c>
      <c r="K61" s="233" t="s">
        <v>285</v>
      </c>
      <c r="L61" s="233"/>
      <c r="M61" s="209">
        <v>2</v>
      </c>
      <c r="N61" s="13">
        <f>'PRECIOS INSUMOS 2015'!C$102</f>
        <v>39</v>
      </c>
      <c r="O61" s="18">
        <f t="shared" si="7"/>
        <v>78</v>
      </c>
      <c r="P61" s="209">
        <f>G61/H61</f>
        <v>2</v>
      </c>
      <c r="Q61" s="308">
        <f t="shared" si="3"/>
        <v>160</v>
      </c>
      <c r="R61" s="226"/>
      <c r="S61" s="306">
        <f>R61+Q61+O61</f>
        <v>238</v>
      </c>
    </row>
    <row r="62" spans="1:19" x14ac:dyDescent="0.2">
      <c r="A62" s="302" t="s">
        <v>399</v>
      </c>
      <c r="B62" s="206" t="s">
        <v>263</v>
      </c>
      <c r="C62" s="207">
        <v>65</v>
      </c>
      <c r="D62" s="304"/>
      <c r="E62" s="206" t="s">
        <v>264</v>
      </c>
      <c r="F62" s="207" t="s">
        <v>308</v>
      </c>
      <c r="G62" s="207">
        <v>1</v>
      </c>
      <c r="H62" s="206"/>
      <c r="I62" s="209"/>
      <c r="J62" s="209"/>
      <c r="K62" s="233" t="s">
        <v>1366</v>
      </c>
      <c r="L62" s="233"/>
      <c r="M62" s="209">
        <v>0.35</v>
      </c>
      <c r="N62" s="13">
        <v>18</v>
      </c>
      <c r="O62" s="18">
        <f t="shared" si="7"/>
        <v>6.3</v>
      </c>
      <c r="P62" s="209"/>
      <c r="Q62" s="308">
        <f t="shared" si="3"/>
        <v>0</v>
      </c>
      <c r="R62" s="226"/>
      <c r="S62" s="306">
        <f>R62+Q62+O62</f>
        <v>6.3</v>
      </c>
    </row>
    <row r="63" spans="1:19" x14ac:dyDescent="0.2">
      <c r="A63" s="302" t="s">
        <v>401</v>
      </c>
      <c r="B63" s="36" t="s">
        <v>571</v>
      </c>
      <c r="C63" s="1">
        <v>65</v>
      </c>
      <c r="D63" s="44"/>
      <c r="E63" s="36" t="s">
        <v>264</v>
      </c>
      <c r="F63" s="1" t="s">
        <v>308</v>
      </c>
      <c r="G63" s="1">
        <v>1</v>
      </c>
      <c r="H63" s="36">
        <v>0.62</v>
      </c>
      <c r="I63" s="306">
        <v>10</v>
      </c>
      <c r="J63" s="18"/>
      <c r="K63" s="102" t="s">
        <v>234</v>
      </c>
      <c r="L63" s="102"/>
      <c r="M63" s="18">
        <v>1.72</v>
      </c>
      <c r="N63" s="47">
        <f>'PRECIOS INSUMOS 2015'!C$5</f>
        <v>2</v>
      </c>
      <c r="O63" s="18">
        <f t="shared" si="7"/>
        <v>3.44</v>
      </c>
      <c r="P63" s="18">
        <v>1.6129032258064517</v>
      </c>
      <c r="Q63" s="308">
        <f t="shared" si="3"/>
        <v>129.03225806451613</v>
      </c>
      <c r="R63" s="226"/>
      <c r="S63" s="57">
        <f>O63+Q63+R63</f>
        <v>132.47225806451613</v>
      </c>
    </row>
    <row r="64" spans="1:19" x14ac:dyDescent="0.2">
      <c r="A64" s="302" t="s">
        <v>402</v>
      </c>
      <c r="B64" s="206" t="s">
        <v>263</v>
      </c>
      <c r="C64" s="207">
        <v>70</v>
      </c>
      <c r="D64" s="207"/>
      <c r="E64" s="206" t="s">
        <v>264</v>
      </c>
      <c r="F64" s="207" t="s">
        <v>308</v>
      </c>
      <c r="G64" s="207">
        <v>1</v>
      </c>
      <c r="H64" s="206"/>
      <c r="I64" s="209"/>
      <c r="J64" s="209"/>
      <c r="K64" s="233" t="s">
        <v>1366</v>
      </c>
      <c r="L64" s="233"/>
      <c r="M64" s="209">
        <v>0.35</v>
      </c>
      <c r="N64" s="13">
        <v>18</v>
      </c>
      <c r="O64" s="18">
        <f t="shared" si="7"/>
        <v>6.3</v>
      </c>
      <c r="P64" s="209"/>
      <c r="Q64" s="308">
        <f t="shared" si="3"/>
        <v>0</v>
      </c>
      <c r="R64" s="226"/>
      <c r="S64" s="306">
        <f>R64+Q64+O64</f>
        <v>6.3</v>
      </c>
    </row>
    <row r="65" spans="1:19" x14ac:dyDescent="0.2">
      <c r="A65" s="302" t="s">
        <v>403</v>
      </c>
      <c r="B65" s="36" t="s">
        <v>571</v>
      </c>
      <c r="C65" s="1">
        <v>70</v>
      </c>
      <c r="D65" s="44"/>
      <c r="E65" s="36" t="s">
        <v>264</v>
      </c>
      <c r="F65" s="1" t="s">
        <v>308</v>
      </c>
      <c r="G65" s="1">
        <v>1</v>
      </c>
      <c r="H65" s="36">
        <v>0.62</v>
      </c>
      <c r="I65" s="306">
        <v>10</v>
      </c>
      <c r="J65" s="18"/>
      <c r="K65" s="102" t="s">
        <v>234</v>
      </c>
      <c r="L65" s="102"/>
      <c r="M65" s="18">
        <v>1.72</v>
      </c>
      <c r="N65" s="47">
        <f>'PRECIOS INSUMOS 2015'!C$5</f>
        <v>2</v>
      </c>
      <c r="O65" s="18">
        <f t="shared" si="7"/>
        <v>3.44</v>
      </c>
      <c r="P65" s="18">
        <v>1.6129032258064517</v>
      </c>
      <c r="Q65" s="308">
        <f t="shared" si="3"/>
        <v>129.03225806451613</v>
      </c>
      <c r="R65" s="226"/>
      <c r="S65" s="57">
        <f>O65+Q65+R65</f>
        <v>132.47225806451613</v>
      </c>
    </row>
    <row r="66" spans="1:19" x14ac:dyDescent="0.2">
      <c r="A66" s="302" t="s">
        <v>404</v>
      </c>
      <c r="B66" s="206" t="s">
        <v>263</v>
      </c>
      <c r="C66" s="207">
        <v>75</v>
      </c>
      <c r="D66" s="304"/>
      <c r="E66" s="206" t="s">
        <v>264</v>
      </c>
      <c r="F66" s="207" t="s">
        <v>308</v>
      </c>
      <c r="G66" s="207">
        <v>1</v>
      </c>
      <c r="H66" s="206"/>
      <c r="I66" s="209"/>
      <c r="J66" s="209"/>
      <c r="K66" s="233" t="s">
        <v>1366</v>
      </c>
      <c r="L66" s="233"/>
      <c r="M66" s="209">
        <v>0.35</v>
      </c>
      <c r="N66" s="13">
        <v>18</v>
      </c>
      <c r="O66" s="18">
        <f t="shared" si="7"/>
        <v>6.3</v>
      </c>
      <c r="P66" s="209"/>
      <c r="Q66" s="308">
        <f t="shared" si="3"/>
        <v>0</v>
      </c>
      <c r="R66" s="226"/>
      <c r="S66" s="306">
        <f>R66+Q66+O66</f>
        <v>6.3</v>
      </c>
    </row>
    <row r="67" spans="1:19" x14ac:dyDescent="0.2">
      <c r="A67" s="302" t="s">
        <v>405</v>
      </c>
      <c r="B67" s="36" t="s">
        <v>571</v>
      </c>
      <c r="C67" s="1">
        <v>75</v>
      </c>
      <c r="D67" s="44"/>
      <c r="E67" s="36" t="s">
        <v>264</v>
      </c>
      <c r="F67" s="1" t="s">
        <v>308</v>
      </c>
      <c r="G67" s="1">
        <v>1</v>
      </c>
      <c r="H67" s="36">
        <v>0.62</v>
      </c>
      <c r="I67" s="306">
        <v>10</v>
      </c>
      <c r="J67" s="18"/>
      <c r="K67" s="102" t="s">
        <v>234</v>
      </c>
      <c r="L67" s="102"/>
      <c r="M67" s="18">
        <v>1.72</v>
      </c>
      <c r="N67" s="47">
        <f>'PRECIOS INSUMOS 2015'!C$5</f>
        <v>2</v>
      </c>
      <c r="O67" s="18">
        <f t="shared" si="7"/>
        <v>3.44</v>
      </c>
      <c r="P67" s="18">
        <v>1.6129032258064517</v>
      </c>
      <c r="Q67" s="308">
        <f t="shared" si="3"/>
        <v>129.03225806451613</v>
      </c>
      <c r="R67" s="226"/>
      <c r="S67" s="57">
        <f>O67+Q67+R67</f>
        <v>132.47225806451613</v>
      </c>
    </row>
    <row r="68" spans="1:19" x14ac:dyDescent="0.2">
      <c r="A68" s="302" t="s">
        <v>406</v>
      </c>
      <c r="B68" s="206" t="s">
        <v>263</v>
      </c>
      <c r="C68" s="207">
        <v>80</v>
      </c>
      <c r="D68" s="304"/>
      <c r="E68" s="206" t="s">
        <v>264</v>
      </c>
      <c r="F68" s="207" t="s">
        <v>308</v>
      </c>
      <c r="G68" s="207">
        <v>1</v>
      </c>
      <c r="H68" s="206"/>
      <c r="I68" s="209"/>
      <c r="J68" s="209"/>
      <c r="K68" s="233" t="s">
        <v>1366</v>
      </c>
      <c r="L68" s="233"/>
      <c r="M68" s="209">
        <v>0.35</v>
      </c>
      <c r="N68" s="13">
        <v>18</v>
      </c>
      <c r="O68" s="18">
        <f t="shared" si="7"/>
        <v>6.3</v>
      </c>
      <c r="P68" s="209"/>
      <c r="Q68" s="308">
        <f t="shared" si="3"/>
        <v>0</v>
      </c>
      <c r="R68" s="226"/>
      <c r="S68" s="306">
        <f>R68+Q68+O68</f>
        <v>6.3</v>
      </c>
    </row>
    <row r="69" spans="1:19" x14ac:dyDescent="0.2">
      <c r="A69" s="302" t="s">
        <v>407</v>
      </c>
      <c r="B69" s="36" t="s">
        <v>571</v>
      </c>
      <c r="C69" s="1">
        <v>80</v>
      </c>
      <c r="D69" s="44"/>
      <c r="E69" s="36" t="s">
        <v>264</v>
      </c>
      <c r="F69" s="1" t="s">
        <v>308</v>
      </c>
      <c r="G69" s="1">
        <v>1</v>
      </c>
      <c r="H69" s="36">
        <v>0.62</v>
      </c>
      <c r="I69" s="306">
        <v>10</v>
      </c>
      <c r="J69" s="18"/>
      <c r="K69" s="102" t="s">
        <v>234</v>
      </c>
      <c r="L69" s="102"/>
      <c r="M69" s="18">
        <v>1.72</v>
      </c>
      <c r="N69" s="47">
        <f>'PRECIOS INSUMOS 2015'!C$5</f>
        <v>2</v>
      </c>
      <c r="O69" s="18">
        <f t="shared" si="7"/>
        <v>3.44</v>
      </c>
      <c r="P69" s="18">
        <v>1.6129032258064517</v>
      </c>
      <c r="Q69" s="308">
        <f t="shared" si="3"/>
        <v>129.03225806451613</v>
      </c>
      <c r="R69" s="226"/>
      <c r="S69" s="57">
        <f>O69+Q69+R69</f>
        <v>132.47225806451613</v>
      </c>
    </row>
    <row r="70" spans="1:19" x14ac:dyDescent="0.2">
      <c r="A70" s="302" t="s">
        <v>408</v>
      </c>
      <c r="B70" s="206" t="s">
        <v>263</v>
      </c>
      <c r="C70" s="207">
        <v>85</v>
      </c>
      <c r="D70" s="304"/>
      <c r="E70" s="206" t="s">
        <v>264</v>
      </c>
      <c r="F70" s="207" t="s">
        <v>308</v>
      </c>
      <c r="G70" s="207">
        <v>1</v>
      </c>
      <c r="H70" s="206"/>
      <c r="I70" s="209"/>
      <c r="J70" s="209"/>
      <c r="K70" s="233" t="s">
        <v>1366</v>
      </c>
      <c r="L70" s="233"/>
      <c r="M70" s="209">
        <v>0.35</v>
      </c>
      <c r="N70" s="13">
        <v>18</v>
      </c>
      <c r="O70" s="18">
        <f t="shared" si="7"/>
        <v>6.3</v>
      </c>
      <c r="P70" s="209"/>
      <c r="Q70" s="308">
        <f t="shared" si="3"/>
        <v>0</v>
      </c>
      <c r="R70" s="226"/>
      <c r="S70" s="306">
        <f>R70+Q70+O70</f>
        <v>6.3</v>
      </c>
    </row>
    <row r="71" spans="1:19" x14ac:dyDescent="0.2">
      <c r="A71" s="302" t="s">
        <v>409</v>
      </c>
      <c r="B71" s="36" t="s">
        <v>571</v>
      </c>
      <c r="C71" s="1">
        <v>85</v>
      </c>
      <c r="D71" s="44"/>
      <c r="E71" s="36" t="s">
        <v>264</v>
      </c>
      <c r="F71" s="1" t="s">
        <v>308</v>
      </c>
      <c r="G71" s="1">
        <v>1</v>
      </c>
      <c r="H71" s="36">
        <v>0.62</v>
      </c>
      <c r="I71" s="306">
        <v>10</v>
      </c>
      <c r="J71" s="18"/>
      <c r="K71" s="102" t="s">
        <v>234</v>
      </c>
      <c r="L71" s="102"/>
      <c r="M71" s="18">
        <v>1.72</v>
      </c>
      <c r="N71" s="47">
        <f>'PRECIOS INSUMOS 2015'!C$5</f>
        <v>2</v>
      </c>
      <c r="O71" s="18">
        <f t="shared" si="7"/>
        <v>3.44</v>
      </c>
      <c r="P71" s="18">
        <v>1.6129032258064517</v>
      </c>
      <c r="Q71" s="308">
        <f t="shared" si="3"/>
        <v>129.03225806451613</v>
      </c>
      <c r="R71" s="226"/>
      <c r="S71" s="57">
        <f>O71+Q71+R71</f>
        <v>132.47225806451613</v>
      </c>
    </row>
    <row r="72" spans="1:19" x14ac:dyDescent="0.2">
      <c r="A72" s="302" t="s">
        <v>410</v>
      </c>
      <c r="B72" s="206" t="s">
        <v>274</v>
      </c>
      <c r="C72" s="207">
        <v>90</v>
      </c>
      <c r="D72" s="1" t="s">
        <v>266</v>
      </c>
      <c r="E72" s="206" t="s">
        <v>385</v>
      </c>
      <c r="F72" s="207" t="s">
        <v>291</v>
      </c>
      <c r="G72" s="207">
        <v>1</v>
      </c>
      <c r="H72" s="206">
        <v>6.5</v>
      </c>
      <c r="I72" s="209"/>
      <c r="J72" s="209"/>
      <c r="K72" s="233" t="s">
        <v>1467</v>
      </c>
      <c r="L72" s="233"/>
      <c r="M72" s="209">
        <v>2</v>
      </c>
      <c r="N72" s="13"/>
      <c r="O72" s="18">
        <f t="shared" si="7"/>
        <v>0</v>
      </c>
      <c r="P72" s="209">
        <f>G72/H72</f>
        <v>0.15384615384615385</v>
      </c>
      <c r="Q72" s="308">
        <f t="shared" si="3"/>
        <v>0</v>
      </c>
      <c r="R72" s="226"/>
      <c r="S72" s="306">
        <f>R72+Q72+O72</f>
        <v>0</v>
      </c>
    </row>
    <row r="73" spans="1:19" s="395" customFormat="1" x14ac:dyDescent="0.2">
      <c r="A73" s="302" t="s">
        <v>411</v>
      </c>
      <c r="B73" s="206" t="s">
        <v>263</v>
      </c>
      <c r="C73" s="207">
        <v>93</v>
      </c>
      <c r="D73" s="207"/>
      <c r="E73" s="206" t="s">
        <v>264</v>
      </c>
      <c r="F73" s="207" t="s">
        <v>308</v>
      </c>
      <c r="G73" s="207">
        <v>1</v>
      </c>
      <c r="H73" s="206"/>
      <c r="I73" s="209"/>
      <c r="J73" s="209"/>
      <c r="K73" s="233" t="s">
        <v>1366</v>
      </c>
      <c r="L73" s="233"/>
      <c r="M73" s="209">
        <v>0.35</v>
      </c>
      <c r="N73" s="13">
        <v>18</v>
      </c>
      <c r="O73" s="18">
        <f t="shared" si="7"/>
        <v>6.3</v>
      </c>
      <c r="P73" s="209"/>
      <c r="Q73" s="308">
        <f t="shared" si="3"/>
        <v>0</v>
      </c>
      <c r="R73" s="226"/>
      <c r="S73" s="306">
        <f>R73+Q73+O73</f>
        <v>6.3</v>
      </c>
    </row>
    <row r="74" spans="1:19" x14ac:dyDescent="0.2">
      <c r="A74" s="302" t="s">
        <v>412</v>
      </c>
      <c r="B74" s="36" t="s">
        <v>571</v>
      </c>
      <c r="C74" s="1">
        <v>93</v>
      </c>
      <c r="D74" s="44"/>
      <c r="E74" s="36" t="s">
        <v>264</v>
      </c>
      <c r="F74" s="1" t="s">
        <v>308</v>
      </c>
      <c r="G74" s="1">
        <v>1</v>
      </c>
      <c r="H74" s="36">
        <v>0.62</v>
      </c>
      <c r="I74" s="306">
        <v>10</v>
      </c>
      <c r="J74" s="18"/>
      <c r="K74" s="102" t="s">
        <v>234</v>
      </c>
      <c r="L74" s="102"/>
      <c r="M74" s="18">
        <v>1.72</v>
      </c>
      <c r="N74" s="47">
        <f>'PRECIOS INSUMOS 2015'!C$5</f>
        <v>2</v>
      </c>
      <c r="O74" s="18">
        <f t="shared" si="7"/>
        <v>3.44</v>
      </c>
      <c r="P74" s="18">
        <v>1.6129032258064517</v>
      </c>
      <c r="Q74" s="308">
        <f t="shared" ref="Q74:Q137" si="8">(I74+J74)*P74*8</f>
        <v>129.03225806451613</v>
      </c>
      <c r="R74" s="226"/>
      <c r="S74" s="57">
        <f>O74+Q74+R74</f>
        <v>132.47225806451613</v>
      </c>
    </row>
    <row r="75" spans="1:19" x14ac:dyDescent="0.2">
      <c r="A75" s="302" t="s">
        <v>413</v>
      </c>
      <c r="B75" s="211" t="s">
        <v>388</v>
      </c>
      <c r="C75" s="207">
        <v>95</v>
      </c>
      <c r="D75" s="304" t="s">
        <v>257</v>
      </c>
      <c r="E75" s="212" t="s">
        <v>305</v>
      </c>
      <c r="F75" s="207" t="s">
        <v>308</v>
      </c>
      <c r="G75" s="207">
        <v>0.5</v>
      </c>
      <c r="H75" s="206">
        <v>1.49</v>
      </c>
      <c r="I75" s="306">
        <v>10</v>
      </c>
      <c r="J75" s="209"/>
      <c r="K75" s="233" t="s">
        <v>234</v>
      </c>
      <c r="L75" s="233"/>
      <c r="M75" s="209">
        <f>102.8/13.42</f>
        <v>7.6602086438152011</v>
      </c>
      <c r="N75" s="47">
        <f>'PRECIOS INSUMOS 2015'!C$5</f>
        <v>2</v>
      </c>
      <c r="O75" s="18">
        <f t="shared" si="7"/>
        <v>15.320417287630402</v>
      </c>
      <c r="P75" s="209">
        <f>G75/H75</f>
        <v>0.33557046979865773</v>
      </c>
      <c r="Q75" s="308">
        <f t="shared" si="8"/>
        <v>26.845637583892618</v>
      </c>
      <c r="R75" s="226"/>
      <c r="S75" s="306">
        <f>R75+Q75+O75</f>
        <v>42.166054871523016</v>
      </c>
    </row>
    <row r="76" spans="1:19" x14ac:dyDescent="0.2">
      <c r="A76" s="302" t="s">
        <v>414</v>
      </c>
      <c r="B76" s="206" t="s">
        <v>365</v>
      </c>
      <c r="C76" s="207">
        <v>97</v>
      </c>
      <c r="D76" s="304"/>
      <c r="E76" s="206" t="s">
        <v>264</v>
      </c>
      <c r="F76" s="207" t="s">
        <v>308</v>
      </c>
      <c r="G76" s="207">
        <v>1</v>
      </c>
      <c r="H76" s="206"/>
      <c r="I76" s="209"/>
      <c r="J76" s="209"/>
      <c r="K76" s="233" t="s">
        <v>1366</v>
      </c>
      <c r="L76" s="233"/>
      <c r="M76" s="209">
        <v>0.35</v>
      </c>
      <c r="N76" s="13">
        <v>18</v>
      </c>
      <c r="O76" s="18">
        <f t="shared" si="7"/>
        <v>6.3</v>
      </c>
      <c r="P76" s="209"/>
      <c r="Q76" s="308">
        <f t="shared" si="8"/>
        <v>0</v>
      </c>
      <c r="R76" s="226"/>
      <c r="S76" s="306">
        <f>R76+Q76+O76</f>
        <v>6.3</v>
      </c>
    </row>
    <row r="77" spans="1:19" x14ac:dyDescent="0.2">
      <c r="A77" s="302" t="s">
        <v>415</v>
      </c>
      <c r="B77" s="36" t="s">
        <v>571</v>
      </c>
      <c r="C77" s="1">
        <v>97</v>
      </c>
      <c r="D77" s="44"/>
      <c r="E77" s="36" t="s">
        <v>264</v>
      </c>
      <c r="F77" s="1" t="s">
        <v>308</v>
      </c>
      <c r="G77" s="1">
        <v>1</v>
      </c>
      <c r="H77" s="36">
        <v>0.62</v>
      </c>
      <c r="I77" s="306">
        <v>10</v>
      </c>
      <c r="J77" s="18"/>
      <c r="K77" s="102" t="s">
        <v>234</v>
      </c>
      <c r="L77" s="102"/>
      <c r="M77" s="18">
        <v>1.72</v>
      </c>
      <c r="N77" s="47">
        <f>'PRECIOS INSUMOS 2015'!C$5</f>
        <v>2</v>
      </c>
      <c r="O77" s="18">
        <f t="shared" si="7"/>
        <v>3.44</v>
      </c>
      <c r="P77" s="18">
        <v>1.6129032258064517</v>
      </c>
      <c r="Q77" s="308">
        <f t="shared" si="8"/>
        <v>129.03225806451613</v>
      </c>
      <c r="R77" s="226"/>
      <c r="S77" s="57">
        <f>O77+Q77+R77</f>
        <v>132.47225806451613</v>
      </c>
    </row>
    <row r="78" spans="1:19" x14ac:dyDescent="0.2">
      <c r="A78" s="302" t="s">
        <v>416</v>
      </c>
      <c r="B78" s="206" t="s">
        <v>263</v>
      </c>
      <c r="C78" s="207">
        <v>105</v>
      </c>
      <c r="D78" s="304"/>
      <c r="E78" s="206" t="s">
        <v>264</v>
      </c>
      <c r="F78" s="207" t="s">
        <v>308</v>
      </c>
      <c r="G78" s="207">
        <v>1</v>
      </c>
      <c r="H78" s="206"/>
      <c r="I78" s="209"/>
      <c r="J78" s="209"/>
      <c r="K78" s="233" t="s">
        <v>1366</v>
      </c>
      <c r="L78" s="233"/>
      <c r="M78" s="209">
        <v>0.35</v>
      </c>
      <c r="N78" s="13">
        <v>18</v>
      </c>
      <c r="O78" s="18">
        <f t="shared" si="7"/>
        <v>6.3</v>
      </c>
      <c r="P78" s="209"/>
      <c r="Q78" s="308">
        <f t="shared" si="8"/>
        <v>0</v>
      </c>
      <c r="R78" s="226"/>
      <c r="S78" s="306">
        <f>R78+Q78+O78</f>
        <v>6.3</v>
      </c>
    </row>
    <row r="79" spans="1:19" x14ac:dyDescent="0.2">
      <c r="A79" s="302" t="s">
        <v>417</v>
      </c>
      <c r="B79" s="36" t="s">
        <v>571</v>
      </c>
      <c r="C79" s="1">
        <v>105</v>
      </c>
      <c r="D79" s="44"/>
      <c r="E79" s="36" t="s">
        <v>264</v>
      </c>
      <c r="F79" s="1" t="s">
        <v>308</v>
      </c>
      <c r="G79" s="1">
        <v>1</v>
      </c>
      <c r="H79" s="36">
        <v>0.62</v>
      </c>
      <c r="I79" s="306">
        <v>10</v>
      </c>
      <c r="J79" s="18"/>
      <c r="K79" s="102" t="s">
        <v>234</v>
      </c>
      <c r="L79" s="102"/>
      <c r="M79" s="18">
        <v>1.72</v>
      </c>
      <c r="N79" s="47">
        <f>'PRECIOS INSUMOS 2015'!C$5</f>
        <v>2</v>
      </c>
      <c r="O79" s="18">
        <f t="shared" si="7"/>
        <v>3.44</v>
      </c>
      <c r="P79" s="18">
        <v>1.6129032258064517</v>
      </c>
      <c r="Q79" s="308">
        <f t="shared" si="8"/>
        <v>129.03225806451613</v>
      </c>
      <c r="R79" s="226"/>
      <c r="S79" s="57">
        <f>O79+Q79+R79</f>
        <v>132.47225806451613</v>
      </c>
    </row>
    <row r="80" spans="1:19" x14ac:dyDescent="0.2">
      <c r="A80" s="302" t="s">
        <v>418</v>
      </c>
      <c r="B80" s="374" t="s">
        <v>394</v>
      </c>
      <c r="C80" s="375">
        <v>110</v>
      </c>
      <c r="D80" s="44" t="s">
        <v>266</v>
      </c>
      <c r="E80" s="374" t="s">
        <v>267</v>
      </c>
      <c r="F80" s="375" t="s">
        <v>308</v>
      </c>
      <c r="G80" s="375">
        <v>1</v>
      </c>
      <c r="H80" s="374">
        <v>2.8</v>
      </c>
      <c r="I80" s="209"/>
      <c r="J80" s="209">
        <v>10</v>
      </c>
      <c r="K80" s="392" t="s">
        <v>1467</v>
      </c>
      <c r="L80" s="392"/>
      <c r="M80" s="226">
        <v>2</v>
      </c>
      <c r="N80" s="13"/>
      <c r="O80" s="18">
        <f t="shared" si="7"/>
        <v>0</v>
      </c>
      <c r="P80" s="209">
        <f>G80/H80</f>
        <v>0.35714285714285715</v>
      </c>
      <c r="Q80" s="308">
        <f t="shared" si="8"/>
        <v>28.571428571428573</v>
      </c>
      <c r="R80" s="226"/>
      <c r="S80" s="306">
        <f>R80+Q80+O80</f>
        <v>28.571428571428573</v>
      </c>
    </row>
    <row r="81" spans="1:19" x14ac:dyDescent="0.2">
      <c r="A81" s="302" t="s">
        <v>419</v>
      </c>
      <c r="B81" s="206" t="s">
        <v>263</v>
      </c>
      <c r="C81" s="207">
        <v>116</v>
      </c>
      <c r="D81" s="304"/>
      <c r="E81" s="206" t="s">
        <v>264</v>
      </c>
      <c r="F81" s="207" t="s">
        <v>308</v>
      </c>
      <c r="G81" s="207">
        <v>1</v>
      </c>
      <c r="H81" s="206"/>
      <c r="I81" s="209"/>
      <c r="J81" s="209"/>
      <c r="K81" s="233" t="s">
        <v>1366</v>
      </c>
      <c r="L81" s="233"/>
      <c r="M81" s="209">
        <v>0.35</v>
      </c>
      <c r="N81" s="13">
        <v>18</v>
      </c>
      <c r="O81" s="18">
        <f t="shared" si="7"/>
        <v>6.3</v>
      </c>
      <c r="P81" s="209"/>
      <c r="Q81" s="308">
        <f t="shared" si="8"/>
        <v>0</v>
      </c>
      <c r="R81" s="226"/>
      <c r="S81" s="306">
        <f>R81+Q81+O81</f>
        <v>6.3</v>
      </c>
    </row>
    <row r="82" spans="1:19" x14ac:dyDescent="0.2">
      <c r="A82" s="302" t="s">
        <v>420</v>
      </c>
      <c r="B82" s="36" t="s">
        <v>571</v>
      </c>
      <c r="C82" s="1">
        <v>116</v>
      </c>
      <c r="D82" s="44"/>
      <c r="E82" s="36" t="s">
        <v>264</v>
      </c>
      <c r="F82" s="1" t="s">
        <v>308</v>
      </c>
      <c r="G82" s="1">
        <v>1</v>
      </c>
      <c r="H82" s="36">
        <v>0.62</v>
      </c>
      <c r="I82" s="306">
        <v>10</v>
      </c>
      <c r="J82" s="18"/>
      <c r="K82" s="102" t="s">
        <v>234</v>
      </c>
      <c r="L82" s="102"/>
      <c r="M82" s="18">
        <v>1.72</v>
      </c>
      <c r="N82" s="47">
        <f>'PRECIOS INSUMOS 2015'!C$5</f>
        <v>2</v>
      </c>
      <c r="O82" s="18">
        <f t="shared" si="7"/>
        <v>3.44</v>
      </c>
      <c r="P82" s="18">
        <v>1.6129032258064517</v>
      </c>
      <c r="Q82" s="308">
        <f t="shared" si="8"/>
        <v>129.03225806451613</v>
      </c>
      <c r="R82" s="226"/>
      <c r="S82" s="57">
        <f>O82+Q82+R82</f>
        <v>132.47225806451613</v>
      </c>
    </row>
    <row r="83" spans="1:19" x14ac:dyDescent="0.2">
      <c r="A83" s="302" t="s">
        <v>421</v>
      </c>
      <c r="B83" s="206" t="s">
        <v>263</v>
      </c>
      <c r="C83" s="207">
        <v>123</v>
      </c>
      <c r="D83" s="304"/>
      <c r="E83" s="206" t="s">
        <v>264</v>
      </c>
      <c r="F83" s="207" t="s">
        <v>308</v>
      </c>
      <c r="G83" s="207">
        <v>1</v>
      </c>
      <c r="H83" s="206"/>
      <c r="I83" s="209"/>
      <c r="J83" s="209"/>
      <c r="K83" s="233" t="s">
        <v>1366</v>
      </c>
      <c r="L83" s="233"/>
      <c r="M83" s="209">
        <v>0.35</v>
      </c>
      <c r="N83" s="13">
        <v>18</v>
      </c>
      <c r="O83" s="18">
        <f t="shared" si="7"/>
        <v>6.3</v>
      </c>
      <c r="P83" s="209"/>
      <c r="Q83" s="308">
        <f t="shared" si="8"/>
        <v>0</v>
      </c>
      <c r="R83" s="226"/>
      <c r="S83" s="306">
        <f>R83+Q83+O83</f>
        <v>6.3</v>
      </c>
    </row>
    <row r="84" spans="1:19" x14ac:dyDescent="0.2">
      <c r="A84" s="302" t="s">
        <v>422</v>
      </c>
      <c r="B84" s="36" t="s">
        <v>571</v>
      </c>
      <c r="C84" s="1">
        <v>123</v>
      </c>
      <c r="D84" s="44"/>
      <c r="E84" s="36" t="s">
        <v>264</v>
      </c>
      <c r="F84" s="1" t="s">
        <v>308</v>
      </c>
      <c r="G84" s="1">
        <v>1</v>
      </c>
      <c r="H84" s="36">
        <v>0.62</v>
      </c>
      <c r="I84" s="306">
        <v>10</v>
      </c>
      <c r="J84" s="18"/>
      <c r="K84" s="102" t="s">
        <v>234</v>
      </c>
      <c r="L84" s="102"/>
      <c r="M84" s="18">
        <v>1.72</v>
      </c>
      <c r="N84" s="47">
        <f>'PRECIOS INSUMOS 2015'!C$5</f>
        <v>2</v>
      </c>
      <c r="O84" s="18">
        <f t="shared" si="7"/>
        <v>3.44</v>
      </c>
      <c r="P84" s="18">
        <v>1.6129032258064517</v>
      </c>
      <c r="Q84" s="308">
        <f t="shared" si="8"/>
        <v>129.03225806451613</v>
      </c>
      <c r="R84" s="226"/>
      <c r="S84" s="57">
        <f>O84+Q84+R84</f>
        <v>132.47225806451613</v>
      </c>
    </row>
    <row r="85" spans="1:19" x14ac:dyDescent="0.2">
      <c r="A85" s="302" t="s">
        <v>423</v>
      </c>
      <c r="B85" s="206" t="s">
        <v>263</v>
      </c>
      <c r="C85" s="207">
        <v>130</v>
      </c>
      <c r="D85" s="304"/>
      <c r="E85" s="206" t="s">
        <v>264</v>
      </c>
      <c r="F85" s="207" t="s">
        <v>308</v>
      </c>
      <c r="G85" s="207">
        <v>1</v>
      </c>
      <c r="H85" s="206"/>
      <c r="I85" s="209"/>
      <c r="J85" s="209"/>
      <c r="K85" s="233" t="s">
        <v>1366</v>
      </c>
      <c r="L85" s="233"/>
      <c r="M85" s="209">
        <v>0.35</v>
      </c>
      <c r="N85" s="13">
        <v>18</v>
      </c>
      <c r="O85" s="18">
        <f t="shared" si="7"/>
        <v>6.3</v>
      </c>
      <c r="P85" s="209"/>
      <c r="Q85" s="308">
        <f t="shared" si="8"/>
        <v>0</v>
      </c>
      <c r="R85" s="226"/>
      <c r="S85" s="306">
        <f>R85+Q85+O85</f>
        <v>6.3</v>
      </c>
    </row>
    <row r="86" spans="1:19" x14ac:dyDescent="0.2">
      <c r="A86" s="302" t="s">
        <v>424</v>
      </c>
      <c r="B86" s="36" t="s">
        <v>571</v>
      </c>
      <c r="C86" s="1">
        <v>130</v>
      </c>
      <c r="D86" s="44"/>
      <c r="E86" s="36" t="s">
        <v>264</v>
      </c>
      <c r="F86" s="1" t="s">
        <v>308</v>
      </c>
      <c r="G86" s="1">
        <v>1</v>
      </c>
      <c r="H86" s="36">
        <v>0.62</v>
      </c>
      <c r="I86" s="306">
        <v>10</v>
      </c>
      <c r="J86" s="18"/>
      <c r="K86" s="102" t="s">
        <v>234</v>
      </c>
      <c r="L86" s="102"/>
      <c r="M86" s="18">
        <v>1.72</v>
      </c>
      <c r="N86" s="47">
        <f>'PRECIOS INSUMOS 2015'!C$5</f>
        <v>2</v>
      </c>
      <c r="O86" s="18">
        <f t="shared" si="7"/>
        <v>3.44</v>
      </c>
      <c r="P86" s="18">
        <v>1.6129032258064517</v>
      </c>
      <c r="Q86" s="308">
        <f t="shared" si="8"/>
        <v>129.03225806451613</v>
      </c>
      <c r="R86" s="226"/>
      <c r="S86" s="57">
        <f>O86+Q86+R86</f>
        <v>132.47225806451613</v>
      </c>
    </row>
    <row r="87" spans="1:19" ht="13.5" thickBot="1" x14ac:dyDescent="0.25">
      <c r="A87" s="302" t="s">
        <v>425</v>
      </c>
      <c r="B87" s="381" t="s">
        <v>400</v>
      </c>
      <c r="C87" s="244">
        <v>135</v>
      </c>
      <c r="D87" s="58" t="s">
        <v>266</v>
      </c>
      <c r="E87" s="381" t="s">
        <v>266</v>
      </c>
      <c r="F87" s="244" t="s">
        <v>308</v>
      </c>
      <c r="G87" s="244">
        <v>1</v>
      </c>
      <c r="H87" s="381">
        <v>0.33</v>
      </c>
      <c r="I87" s="247"/>
      <c r="J87" s="209">
        <v>10</v>
      </c>
      <c r="K87" s="394"/>
      <c r="L87" s="394"/>
      <c r="M87" s="247"/>
      <c r="N87" s="60"/>
      <c r="O87" s="59">
        <f t="shared" si="7"/>
        <v>0</v>
      </c>
      <c r="P87" s="247">
        <f>G87/H87</f>
        <v>3.0303030303030303</v>
      </c>
      <c r="Q87" s="308">
        <f t="shared" si="8"/>
        <v>242.42424242424244</v>
      </c>
      <c r="R87" s="56"/>
      <c r="S87" s="247">
        <f>R87+Q87+O87</f>
        <v>242.42424242424244</v>
      </c>
    </row>
    <row r="88" spans="1:19" s="317" customFormat="1" x14ac:dyDescent="0.2">
      <c r="A88" s="302" t="s">
        <v>426</v>
      </c>
      <c r="B88" s="206" t="s">
        <v>263</v>
      </c>
      <c r="C88" s="207">
        <v>137</v>
      </c>
      <c r="D88" s="304"/>
      <c r="E88" s="206" t="s">
        <v>264</v>
      </c>
      <c r="F88" s="207" t="s">
        <v>308</v>
      </c>
      <c r="G88" s="207">
        <v>1</v>
      </c>
      <c r="H88" s="206"/>
      <c r="I88" s="209"/>
      <c r="J88" s="209"/>
      <c r="K88" s="233" t="s">
        <v>1366</v>
      </c>
      <c r="L88" s="233"/>
      <c r="M88" s="209">
        <v>0.35</v>
      </c>
      <c r="N88" s="13">
        <v>18</v>
      </c>
      <c r="O88" s="18">
        <f t="shared" si="7"/>
        <v>6.3</v>
      </c>
      <c r="P88" s="209"/>
      <c r="Q88" s="308">
        <f t="shared" si="8"/>
        <v>0</v>
      </c>
      <c r="R88" s="226"/>
      <c r="S88" s="306">
        <f>R88+Q88+O88</f>
        <v>6.3</v>
      </c>
    </row>
    <row r="89" spans="1:19" x14ac:dyDescent="0.2">
      <c r="A89" s="302" t="s">
        <v>427</v>
      </c>
      <c r="B89" s="36" t="s">
        <v>571</v>
      </c>
      <c r="C89" s="1">
        <v>137</v>
      </c>
      <c r="D89" s="44"/>
      <c r="E89" s="36" t="s">
        <v>264</v>
      </c>
      <c r="F89" s="1" t="s">
        <v>308</v>
      </c>
      <c r="G89" s="1">
        <v>1</v>
      </c>
      <c r="H89" s="36">
        <v>0.62</v>
      </c>
      <c r="I89" s="306">
        <v>10</v>
      </c>
      <c r="J89" s="18"/>
      <c r="K89" s="102" t="s">
        <v>234</v>
      </c>
      <c r="L89" s="102"/>
      <c r="M89" s="18">
        <v>1.72</v>
      </c>
      <c r="N89" s="47">
        <f>'PRECIOS INSUMOS 2015'!C$5</f>
        <v>2</v>
      </c>
      <c r="O89" s="18">
        <f t="shared" si="7"/>
        <v>3.44</v>
      </c>
      <c r="P89" s="18">
        <v>1.6129032258064517</v>
      </c>
      <c r="Q89" s="308">
        <f t="shared" si="8"/>
        <v>129.03225806451613</v>
      </c>
      <c r="R89" s="226"/>
      <c r="S89" s="57">
        <f>O89+Q89+R89</f>
        <v>132.47225806451613</v>
      </c>
    </row>
    <row r="90" spans="1:19" x14ac:dyDescent="0.2">
      <c r="A90" s="302" t="s">
        <v>428</v>
      </c>
      <c r="B90" s="206" t="s">
        <v>263</v>
      </c>
      <c r="C90" s="207">
        <v>144</v>
      </c>
      <c r="D90" s="304"/>
      <c r="E90" s="206" t="s">
        <v>264</v>
      </c>
      <c r="F90" s="207" t="s">
        <v>308</v>
      </c>
      <c r="G90" s="207">
        <v>1</v>
      </c>
      <c r="H90" s="206"/>
      <c r="I90" s="209"/>
      <c r="J90" s="209"/>
      <c r="K90" s="233" t="s">
        <v>1366</v>
      </c>
      <c r="L90" s="233"/>
      <c r="M90" s="209">
        <v>0.35</v>
      </c>
      <c r="N90" s="13">
        <v>18</v>
      </c>
      <c r="O90" s="18">
        <f t="shared" si="7"/>
        <v>6.3</v>
      </c>
      <c r="P90" s="209"/>
      <c r="Q90" s="308">
        <f t="shared" si="8"/>
        <v>0</v>
      </c>
      <c r="R90" s="226"/>
      <c r="S90" s="306">
        <f>R90+Q90+O90</f>
        <v>6.3</v>
      </c>
    </row>
    <row r="91" spans="1:19" x14ac:dyDescent="0.2">
      <c r="A91" s="302" t="s">
        <v>429</v>
      </c>
      <c r="B91" s="36" t="s">
        <v>571</v>
      </c>
      <c r="C91" s="1">
        <v>144</v>
      </c>
      <c r="D91" s="44"/>
      <c r="E91" s="36" t="s">
        <v>264</v>
      </c>
      <c r="F91" s="1" t="s">
        <v>308</v>
      </c>
      <c r="G91" s="1">
        <v>1</v>
      </c>
      <c r="H91" s="36">
        <v>0.62</v>
      </c>
      <c r="I91" s="306">
        <v>10</v>
      </c>
      <c r="J91" s="18"/>
      <c r="K91" s="102" t="s">
        <v>234</v>
      </c>
      <c r="L91" s="102"/>
      <c r="M91" s="18">
        <v>1.72</v>
      </c>
      <c r="N91" s="47">
        <f>'PRECIOS INSUMOS 2015'!C$5</f>
        <v>2</v>
      </c>
      <c r="O91" s="18">
        <f t="shared" si="7"/>
        <v>3.44</v>
      </c>
      <c r="P91" s="18">
        <v>1.6129032258064517</v>
      </c>
      <c r="Q91" s="308">
        <f t="shared" si="8"/>
        <v>129.03225806451613</v>
      </c>
      <c r="R91" s="226"/>
      <c r="S91" s="57">
        <f>O91+Q91+R91</f>
        <v>132.47225806451613</v>
      </c>
    </row>
    <row r="92" spans="1:19" x14ac:dyDescent="0.2">
      <c r="A92" s="302" t="s">
        <v>430</v>
      </c>
      <c r="B92" s="206" t="s">
        <v>263</v>
      </c>
      <c r="C92" s="207">
        <v>151</v>
      </c>
      <c r="D92" s="304"/>
      <c r="E92" s="206" t="s">
        <v>264</v>
      </c>
      <c r="F92" s="207" t="s">
        <v>308</v>
      </c>
      <c r="G92" s="207">
        <v>1</v>
      </c>
      <c r="H92" s="206"/>
      <c r="I92" s="209"/>
      <c r="J92" s="209"/>
      <c r="K92" s="233" t="s">
        <v>1366</v>
      </c>
      <c r="L92" s="233"/>
      <c r="M92" s="209">
        <v>0.35</v>
      </c>
      <c r="N92" s="13">
        <v>18</v>
      </c>
      <c r="O92" s="18">
        <f t="shared" si="7"/>
        <v>6.3</v>
      </c>
      <c r="P92" s="209"/>
      <c r="Q92" s="308">
        <f t="shared" si="8"/>
        <v>0</v>
      </c>
      <c r="R92" s="226"/>
      <c r="S92" s="306">
        <f>R92+Q92+O92</f>
        <v>6.3</v>
      </c>
    </row>
    <row r="93" spans="1:19" x14ac:dyDescent="0.2">
      <c r="A93" s="302" t="s">
        <v>433</v>
      </c>
      <c r="B93" s="36" t="s">
        <v>571</v>
      </c>
      <c r="C93" s="1">
        <v>151</v>
      </c>
      <c r="D93" s="44"/>
      <c r="E93" s="36" t="s">
        <v>264</v>
      </c>
      <c r="F93" s="1" t="s">
        <v>308</v>
      </c>
      <c r="G93" s="1">
        <v>1</v>
      </c>
      <c r="H93" s="36">
        <v>0.62</v>
      </c>
      <c r="I93" s="306">
        <v>10</v>
      </c>
      <c r="J93" s="18"/>
      <c r="K93" s="102" t="s">
        <v>234</v>
      </c>
      <c r="L93" s="102"/>
      <c r="M93" s="18">
        <v>1.72</v>
      </c>
      <c r="N93" s="47">
        <f>'PRECIOS INSUMOS 2015'!C$5</f>
        <v>2</v>
      </c>
      <c r="O93" s="18">
        <f t="shared" si="7"/>
        <v>3.44</v>
      </c>
      <c r="P93" s="18">
        <v>1.6129032258064517</v>
      </c>
      <c r="Q93" s="308">
        <f t="shared" si="8"/>
        <v>129.03225806451613</v>
      </c>
      <c r="R93" s="226"/>
      <c r="S93" s="57">
        <f>O93+Q93+R93</f>
        <v>132.47225806451613</v>
      </c>
    </row>
    <row r="94" spans="1:19" x14ac:dyDescent="0.2">
      <c r="A94" s="302" t="s">
        <v>434</v>
      </c>
      <c r="B94" s="206" t="s">
        <v>263</v>
      </c>
      <c r="C94" s="207">
        <v>158</v>
      </c>
      <c r="D94" s="304"/>
      <c r="E94" s="206" t="s">
        <v>264</v>
      </c>
      <c r="F94" s="207" t="s">
        <v>308</v>
      </c>
      <c r="G94" s="207">
        <v>1</v>
      </c>
      <c r="H94" s="206"/>
      <c r="I94" s="209"/>
      <c r="J94" s="209"/>
      <c r="K94" s="233" t="s">
        <v>1366</v>
      </c>
      <c r="L94" s="233"/>
      <c r="M94" s="209">
        <v>0.35</v>
      </c>
      <c r="N94" s="13">
        <v>18</v>
      </c>
      <c r="O94" s="18">
        <f t="shared" si="7"/>
        <v>6.3</v>
      </c>
      <c r="P94" s="209"/>
      <c r="Q94" s="308">
        <f t="shared" si="8"/>
        <v>0</v>
      </c>
      <c r="R94" s="226"/>
      <c r="S94" s="306">
        <f>R94+Q94+O94</f>
        <v>6.3</v>
      </c>
    </row>
    <row r="95" spans="1:19" x14ac:dyDescent="0.2">
      <c r="A95" s="302" t="s">
        <v>435</v>
      </c>
      <c r="B95" s="36" t="s">
        <v>571</v>
      </c>
      <c r="C95" s="1">
        <v>158</v>
      </c>
      <c r="D95" s="44"/>
      <c r="E95" s="36" t="s">
        <v>264</v>
      </c>
      <c r="F95" s="1" t="s">
        <v>308</v>
      </c>
      <c r="G95" s="1">
        <v>1</v>
      </c>
      <c r="H95" s="36">
        <v>0.62</v>
      </c>
      <c r="I95" s="306">
        <v>10</v>
      </c>
      <c r="J95" s="18"/>
      <c r="K95" s="102" t="s">
        <v>234</v>
      </c>
      <c r="L95" s="102"/>
      <c r="M95" s="18">
        <v>1.72</v>
      </c>
      <c r="N95" s="47">
        <f>'PRECIOS INSUMOS 2015'!C$5</f>
        <v>2</v>
      </c>
      <c r="O95" s="18">
        <f t="shared" si="7"/>
        <v>3.44</v>
      </c>
      <c r="P95" s="18">
        <v>1.6129032258064517</v>
      </c>
      <c r="Q95" s="308">
        <f t="shared" si="8"/>
        <v>129.03225806451613</v>
      </c>
      <c r="R95" s="226"/>
      <c r="S95" s="57">
        <f>O95+Q95+R95</f>
        <v>132.47225806451613</v>
      </c>
    </row>
    <row r="96" spans="1:19" x14ac:dyDescent="0.2">
      <c r="A96" s="302" t="s">
        <v>529</v>
      </c>
      <c r="B96" s="206" t="s">
        <v>263</v>
      </c>
      <c r="C96" s="207">
        <v>165</v>
      </c>
      <c r="D96" s="304"/>
      <c r="E96" s="206" t="s">
        <v>264</v>
      </c>
      <c r="F96" s="207" t="s">
        <v>308</v>
      </c>
      <c r="G96" s="207">
        <v>1</v>
      </c>
      <c r="H96" s="206"/>
      <c r="I96" s="209"/>
      <c r="J96" s="209"/>
      <c r="K96" s="233" t="s">
        <v>1366</v>
      </c>
      <c r="L96" s="233"/>
      <c r="M96" s="209">
        <v>0.35</v>
      </c>
      <c r="N96" s="13">
        <v>18</v>
      </c>
      <c r="O96" s="18">
        <f t="shared" si="7"/>
        <v>6.3</v>
      </c>
      <c r="P96" s="209"/>
      <c r="Q96" s="308">
        <f t="shared" si="8"/>
        <v>0</v>
      </c>
      <c r="R96" s="226"/>
      <c r="S96" s="306">
        <f>R96+Q96+O96</f>
        <v>6.3</v>
      </c>
    </row>
    <row r="97" spans="1:19" x14ac:dyDescent="0.2">
      <c r="A97" s="302" t="s">
        <v>530</v>
      </c>
      <c r="B97" s="36" t="s">
        <v>571</v>
      </c>
      <c r="C97" s="1">
        <v>165</v>
      </c>
      <c r="D97" s="44"/>
      <c r="E97" s="36" t="s">
        <v>264</v>
      </c>
      <c r="F97" s="1" t="s">
        <v>308</v>
      </c>
      <c r="G97" s="1">
        <v>1</v>
      </c>
      <c r="H97" s="36">
        <v>0.62</v>
      </c>
      <c r="I97" s="306">
        <v>10</v>
      </c>
      <c r="J97" s="18"/>
      <c r="K97" s="102" t="s">
        <v>234</v>
      </c>
      <c r="L97" s="102"/>
      <c r="M97" s="18">
        <v>1.72</v>
      </c>
      <c r="N97" s="47">
        <f>'PRECIOS INSUMOS 2015'!C$5</f>
        <v>2</v>
      </c>
      <c r="O97" s="18">
        <f t="shared" si="7"/>
        <v>3.44</v>
      </c>
      <c r="P97" s="18">
        <v>1.6129032258064517</v>
      </c>
      <c r="Q97" s="308">
        <f t="shared" si="8"/>
        <v>129.03225806451613</v>
      </c>
      <c r="R97" s="226"/>
      <c r="S97" s="57">
        <f>O97+Q97+R97</f>
        <v>132.47225806451613</v>
      </c>
    </row>
    <row r="98" spans="1:19" x14ac:dyDescent="0.2">
      <c r="A98" s="302" t="s">
        <v>531</v>
      </c>
      <c r="B98" s="206" t="s">
        <v>263</v>
      </c>
      <c r="C98" s="207">
        <v>172</v>
      </c>
      <c r="D98" s="304"/>
      <c r="E98" s="206" t="s">
        <v>264</v>
      </c>
      <c r="F98" s="207" t="s">
        <v>308</v>
      </c>
      <c r="G98" s="207">
        <v>1</v>
      </c>
      <c r="H98" s="206"/>
      <c r="I98" s="209"/>
      <c r="J98" s="209"/>
      <c r="K98" s="233" t="s">
        <v>1366</v>
      </c>
      <c r="L98" s="233"/>
      <c r="M98" s="209">
        <v>0.35</v>
      </c>
      <c r="N98" s="13">
        <v>18</v>
      </c>
      <c r="O98" s="18">
        <f t="shared" si="7"/>
        <v>6.3</v>
      </c>
      <c r="P98" s="209"/>
      <c r="Q98" s="308">
        <f t="shared" si="8"/>
        <v>0</v>
      </c>
      <c r="R98" s="226"/>
      <c r="S98" s="306">
        <f>R98+Q98+O98</f>
        <v>6.3</v>
      </c>
    </row>
    <row r="99" spans="1:19" x14ac:dyDescent="0.2">
      <c r="A99" s="302" t="s">
        <v>532</v>
      </c>
      <c r="B99" s="36" t="s">
        <v>571</v>
      </c>
      <c r="C99" s="1">
        <v>172</v>
      </c>
      <c r="D99" s="44"/>
      <c r="E99" s="36" t="s">
        <v>264</v>
      </c>
      <c r="F99" s="1" t="s">
        <v>308</v>
      </c>
      <c r="G99" s="1">
        <v>1</v>
      </c>
      <c r="H99" s="36">
        <v>0.62</v>
      </c>
      <c r="I99" s="306">
        <v>10</v>
      </c>
      <c r="J99" s="18"/>
      <c r="K99" s="102" t="s">
        <v>234</v>
      </c>
      <c r="L99" s="102"/>
      <c r="M99" s="18">
        <v>1.72</v>
      </c>
      <c r="N99" s="47">
        <f>'PRECIOS INSUMOS 2015'!C$5</f>
        <v>2</v>
      </c>
      <c r="O99" s="18">
        <f t="shared" si="7"/>
        <v>3.44</v>
      </c>
      <c r="P99" s="18">
        <v>1.6129032258064517</v>
      </c>
      <c r="Q99" s="308">
        <f t="shared" si="8"/>
        <v>129.03225806451613</v>
      </c>
      <c r="R99" s="226"/>
      <c r="S99" s="57">
        <f>O99+Q99+R99</f>
        <v>132.47225806451613</v>
      </c>
    </row>
    <row r="100" spans="1:19" x14ac:dyDescent="0.2">
      <c r="A100" s="302" t="s">
        <v>516</v>
      </c>
      <c r="B100" s="206" t="s">
        <v>263</v>
      </c>
      <c r="C100" s="207">
        <v>179</v>
      </c>
      <c r="D100" s="304"/>
      <c r="E100" s="206" t="s">
        <v>264</v>
      </c>
      <c r="F100" s="207" t="s">
        <v>308</v>
      </c>
      <c r="G100" s="207">
        <v>1</v>
      </c>
      <c r="H100" s="206"/>
      <c r="I100" s="209"/>
      <c r="J100" s="209"/>
      <c r="K100" s="233" t="s">
        <v>1366</v>
      </c>
      <c r="L100" s="233"/>
      <c r="M100" s="209">
        <v>0.35</v>
      </c>
      <c r="N100" s="13">
        <v>18</v>
      </c>
      <c r="O100" s="18">
        <f t="shared" si="7"/>
        <v>6.3</v>
      </c>
      <c r="P100" s="209"/>
      <c r="Q100" s="308">
        <f t="shared" si="8"/>
        <v>0</v>
      </c>
      <c r="R100" s="226"/>
      <c r="S100" s="306">
        <f>R100+Q100+O100</f>
        <v>6.3</v>
      </c>
    </row>
    <row r="101" spans="1:19" s="317" customFormat="1" x14ac:dyDescent="0.2">
      <c r="A101" s="302" t="s">
        <v>533</v>
      </c>
      <c r="B101" s="36" t="s">
        <v>571</v>
      </c>
      <c r="C101" s="1">
        <v>179</v>
      </c>
      <c r="D101" s="1"/>
      <c r="E101" s="36" t="s">
        <v>264</v>
      </c>
      <c r="F101" s="1" t="s">
        <v>308</v>
      </c>
      <c r="G101" s="1">
        <v>1</v>
      </c>
      <c r="H101" s="36">
        <v>0.62</v>
      </c>
      <c r="I101" s="306">
        <v>10</v>
      </c>
      <c r="J101" s="18"/>
      <c r="K101" s="102" t="s">
        <v>234</v>
      </c>
      <c r="L101" s="102"/>
      <c r="M101" s="18">
        <v>1.72</v>
      </c>
      <c r="N101" s="47">
        <f>'PRECIOS INSUMOS 2015'!C$5</f>
        <v>2</v>
      </c>
      <c r="O101" s="18">
        <f t="shared" si="7"/>
        <v>3.44</v>
      </c>
      <c r="P101" s="18">
        <v>1.6129032258064517</v>
      </c>
      <c r="Q101" s="308">
        <f t="shared" si="8"/>
        <v>129.03225806451613</v>
      </c>
      <c r="R101" s="226"/>
      <c r="S101" s="57">
        <f>O101+Q101+R101</f>
        <v>132.47225806451613</v>
      </c>
    </row>
    <row r="102" spans="1:19" s="317" customFormat="1" x14ac:dyDescent="0.2">
      <c r="A102" s="302" t="s">
        <v>497</v>
      </c>
      <c r="B102" s="206" t="s">
        <v>400</v>
      </c>
      <c r="C102" s="207">
        <v>182</v>
      </c>
      <c r="D102" s="44" t="s">
        <v>266</v>
      </c>
      <c r="E102" s="206" t="s">
        <v>266</v>
      </c>
      <c r="F102" s="207" t="s">
        <v>308</v>
      </c>
      <c r="G102" s="207">
        <v>1</v>
      </c>
      <c r="H102" s="206">
        <v>1</v>
      </c>
      <c r="I102" s="209"/>
      <c r="J102" s="209">
        <v>10</v>
      </c>
      <c r="K102" s="233"/>
      <c r="L102" s="233"/>
      <c r="M102" s="209"/>
      <c r="N102" s="13"/>
      <c r="O102" s="18">
        <f t="shared" si="7"/>
        <v>0</v>
      </c>
      <c r="P102" s="209">
        <f>G102/H102</f>
        <v>1</v>
      </c>
      <c r="Q102" s="308">
        <f t="shared" si="8"/>
        <v>80</v>
      </c>
      <c r="R102" s="226"/>
      <c r="S102" s="306">
        <f>R102+Q102+O102</f>
        <v>80</v>
      </c>
    </row>
    <row r="103" spans="1:19" s="317" customFormat="1" x14ac:dyDescent="0.2">
      <c r="A103" s="302" t="s">
        <v>517</v>
      </c>
      <c r="B103" s="206" t="s">
        <v>274</v>
      </c>
      <c r="C103" s="207">
        <v>183</v>
      </c>
      <c r="D103" s="304" t="s">
        <v>266</v>
      </c>
      <c r="E103" s="206" t="s">
        <v>267</v>
      </c>
      <c r="F103" s="207" t="s">
        <v>291</v>
      </c>
      <c r="G103" s="207">
        <v>1</v>
      </c>
      <c r="H103" s="206">
        <v>0.5</v>
      </c>
      <c r="I103" s="209"/>
      <c r="J103" s="209">
        <v>10</v>
      </c>
      <c r="K103" s="233" t="s">
        <v>285</v>
      </c>
      <c r="L103" s="233"/>
      <c r="M103" s="209">
        <v>2</v>
      </c>
      <c r="N103" s="13">
        <f>'PRECIOS INSUMOS 2015'!C$102</f>
        <v>39</v>
      </c>
      <c r="O103" s="18">
        <f t="shared" si="7"/>
        <v>78</v>
      </c>
      <c r="P103" s="209">
        <f>G103/H103</f>
        <v>2</v>
      </c>
      <c r="Q103" s="308">
        <f t="shared" si="8"/>
        <v>160</v>
      </c>
      <c r="R103" s="226"/>
      <c r="S103" s="306">
        <f>R103+Q103+O103</f>
        <v>238</v>
      </c>
    </row>
    <row r="104" spans="1:19" s="317" customFormat="1" x14ac:dyDescent="0.2">
      <c r="A104" s="302" t="s">
        <v>534</v>
      </c>
      <c r="B104" s="206" t="s">
        <v>263</v>
      </c>
      <c r="C104" s="207">
        <v>186</v>
      </c>
      <c r="D104" s="304"/>
      <c r="E104" s="206" t="s">
        <v>264</v>
      </c>
      <c r="F104" s="207" t="s">
        <v>308</v>
      </c>
      <c r="G104" s="207">
        <v>1</v>
      </c>
      <c r="H104" s="206"/>
      <c r="I104" s="209"/>
      <c r="J104" s="209"/>
      <c r="K104" s="233" t="s">
        <v>1366</v>
      </c>
      <c r="L104" s="233"/>
      <c r="M104" s="209">
        <v>0.35</v>
      </c>
      <c r="N104" s="13">
        <v>18</v>
      </c>
      <c r="O104" s="18">
        <f t="shared" si="7"/>
        <v>6.3</v>
      </c>
      <c r="P104" s="209"/>
      <c r="Q104" s="308">
        <f t="shared" si="8"/>
        <v>0</v>
      </c>
      <c r="R104" s="226"/>
      <c r="S104" s="306">
        <f>R104+Q104+O104</f>
        <v>6.3</v>
      </c>
    </row>
    <row r="105" spans="1:19" s="317" customFormat="1" x14ac:dyDescent="0.2">
      <c r="A105" s="302" t="s">
        <v>498</v>
      </c>
      <c r="B105" s="36" t="s">
        <v>571</v>
      </c>
      <c r="C105" s="1">
        <v>186</v>
      </c>
      <c r="D105" s="44"/>
      <c r="E105" s="36" t="s">
        <v>264</v>
      </c>
      <c r="F105" s="1" t="s">
        <v>308</v>
      </c>
      <c r="G105" s="1">
        <v>1</v>
      </c>
      <c r="H105" s="36">
        <v>0.62</v>
      </c>
      <c r="I105" s="306">
        <v>10</v>
      </c>
      <c r="J105" s="18"/>
      <c r="K105" s="102" t="s">
        <v>234</v>
      </c>
      <c r="L105" s="102"/>
      <c r="M105" s="18">
        <v>1.72</v>
      </c>
      <c r="N105" s="47">
        <f>'PRECIOS INSUMOS 2015'!C$5</f>
        <v>2</v>
      </c>
      <c r="O105" s="18">
        <f t="shared" si="7"/>
        <v>3.44</v>
      </c>
      <c r="P105" s="18">
        <v>1.6129032258064517</v>
      </c>
      <c r="Q105" s="308">
        <f t="shared" si="8"/>
        <v>129.03225806451613</v>
      </c>
      <c r="R105" s="226"/>
      <c r="S105" s="57">
        <f>O105+Q105+R105</f>
        <v>132.47225806451613</v>
      </c>
    </row>
    <row r="106" spans="1:19" s="317" customFormat="1" x14ac:dyDescent="0.2">
      <c r="A106" s="302" t="s">
        <v>535</v>
      </c>
      <c r="B106" s="206" t="s">
        <v>263</v>
      </c>
      <c r="C106" s="207">
        <v>193</v>
      </c>
      <c r="D106" s="304"/>
      <c r="E106" s="206" t="s">
        <v>264</v>
      </c>
      <c r="F106" s="207" t="s">
        <v>308</v>
      </c>
      <c r="G106" s="207">
        <v>1</v>
      </c>
      <c r="H106" s="206"/>
      <c r="I106" s="209"/>
      <c r="J106" s="209"/>
      <c r="K106" s="233" t="s">
        <v>1366</v>
      </c>
      <c r="L106" s="233"/>
      <c r="M106" s="209">
        <v>0.35</v>
      </c>
      <c r="N106" s="13">
        <v>18</v>
      </c>
      <c r="O106" s="18">
        <f t="shared" si="7"/>
        <v>6.3</v>
      </c>
      <c r="P106" s="209"/>
      <c r="Q106" s="308">
        <f t="shared" si="8"/>
        <v>0</v>
      </c>
      <c r="R106" s="226"/>
      <c r="S106" s="306">
        <f>R106+Q106+O106</f>
        <v>6.3</v>
      </c>
    </row>
    <row r="107" spans="1:19" s="317" customFormat="1" x14ac:dyDescent="0.2">
      <c r="A107" s="302" t="s">
        <v>536</v>
      </c>
      <c r="B107" s="36" t="s">
        <v>571</v>
      </c>
      <c r="C107" s="1">
        <v>193</v>
      </c>
      <c r="D107" s="44"/>
      <c r="E107" s="36" t="s">
        <v>264</v>
      </c>
      <c r="F107" s="1" t="s">
        <v>308</v>
      </c>
      <c r="G107" s="1">
        <v>1</v>
      </c>
      <c r="H107" s="36">
        <v>0.62</v>
      </c>
      <c r="I107" s="306">
        <v>10</v>
      </c>
      <c r="J107" s="18"/>
      <c r="K107" s="102" t="s">
        <v>234</v>
      </c>
      <c r="L107" s="102"/>
      <c r="M107" s="18">
        <v>1.72</v>
      </c>
      <c r="N107" s="47">
        <f>'PRECIOS INSUMOS 2015'!C$5</f>
        <v>2</v>
      </c>
      <c r="O107" s="18">
        <f t="shared" si="7"/>
        <v>3.44</v>
      </c>
      <c r="P107" s="18">
        <v>1.6129032258064517</v>
      </c>
      <c r="Q107" s="308">
        <f t="shared" si="8"/>
        <v>129.03225806451613</v>
      </c>
      <c r="R107" s="226"/>
      <c r="S107" s="57">
        <f>O107+Q107+R107</f>
        <v>132.47225806451613</v>
      </c>
    </row>
    <row r="108" spans="1:19" s="317" customFormat="1" x14ac:dyDescent="0.2">
      <c r="A108" s="302" t="s">
        <v>518</v>
      </c>
      <c r="B108" s="206" t="s">
        <v>263</v>
      </c>
      <c r="C108" s="207">
        <v>200</v>
      </c>
      <c r="D108" s="304"/>
      <c r="E108" s="206" t="s">
        <v>264</v>
      </c>
      <c r="F108" s="207" t="s">
        <v>308</v>
      </c>
      <c r="G108" s="207">
        <v>1</v>
      </c>
      <c r="H108" s="206"/>
      <c r="I108" s="209"/>
      <c r="J108" s="209"/>
      <c r="K108" s="233" t="s">
        <v>1366</v>
      </c>
      <c r="L108" s="233"/>
      <c r="M108" s="209">
        <v>0.35</v>
      </c>
      <c r="N108" s="13">
        <v>18</v>
      </c>
      <c r="O108" s="18">
        <f t="shared" si="7"/>
        <v>6.3</v>
      </c>
      <c r="P108" s="209"/>
      <c r="Q108" s="308">
        <f t="shared" si="8"/>
        <v>0</v>
      </c>
      <c r="R108" s="226"/>
      <c r="S108" s="306">
        <f>R108+Q108+O108</f>
        <v>6.3</v>
      </c>
    </row>
    <row r="109" spans="1:19" s="317" customFormat="1" x14ac:dyDescent="0.2">
      <c r="A109" s="302" t="s">
        <v>537</v>
      </c>
      <c r="B109" s="36" t="s">
        <v>571</v>
      </c>
      <c r="C109" s="1">
        <v>200</v>
      </c>
      <c r="D109" s="44"/>
      <c r="E109" s="36" t="s">
        <v>264</v>
      </c>
      <c r="F109" s="1" t="s">
        <v>308</v>
      </c>
      <c r="G109" s="1">
        <v>1</v>
      </c>
      <c r="H109" s="36">
        <v>0.62</v>
      </c>
      <c r="I109" s="306">
        <v>10</v>
      </c>
      <c r="J109" s="18"/>
      <c r="K109" s="102" t="s">
        <v>234</v>
      </c>
      <c r="L109" s="102"/>
      <c r="M109" s="18">
        <v>1.72</v>
      </c>
      <c r="N109" s="47">
        <f>'PRECIOS INSUMOS 2015'!C$5</f>
        <v>2</v>
      </c>
      <c r="O109" s="18">
        <f t="shared" si="7"/>
        <v>3.44</v>
      </c>
      <c r="P109" s="18">
        <v>1.6129032258064517</v>
      </c>
      <c r="Q109" s="308">
        <f t="shared" si="8"/>
        <v>129.03225806451613</v>
      </c>
      <c r="R109" s="226"/>
      <c r="S109" s="57">
        <f>O109+Q109+R109</f>
        <v>132.47225806451613</v>
      </c>
    </row>
    <row r="110" spans="1:19" s="317" customFormat="1" x14ac:dyDescent="0.2">
      <c r="A110" s="302" t="s">
        <v>499</v>
      </c>
      <c r="B110" s="206" t="s">
        <v>263</v>
      </c>
      <c r="C110" s="207">
        <v>207</v>
      </c>
      <c r="D110" s="304"/>
      <c r="E110" s="206" t="s">
        <v>264</v>
      </c>
      <c r="F110" s="207" t="s">
        <v>308</v>
      </c>
      <c r="G110" s="207">
        <v>1</v>
      </c>
      <c r="H110" s="206"/>
      <c r="I110" s="209"/>
      <c r="J110" s="209"/>
      <c r="K110" s="233" t="s">
        <v>1366</v>
      </c>
      <c r="L110" s="233"/>
      <c r="M110" s="209">
        <v>0.35</v>
      </c>
      <c r="N110" s="13">
        <v>18</v>
      </c>
      <c r="O110" s="18">
        <f t="shared" si="7"/>
        <v>6.3</v>
      </c>
      <c r="P110" s="209"/>
      <c r="Q110" s="308">
        <f t="shared" si="8"/>
        <v>0</v>
      </c>
      <c r="R110" s="226"/>
      <c r="S110" s="306">
        <f>R110+Q110+O110</f>
        <v>6.3</v>
      </c>
    </row>
    <row r="111" spans="1:19" s="317" customFormat="1" x14ac:dyDescent="0.2">
      <c r="A111" s="302" t="s">
        <v>519</v>
      </c>
      <c r="B111" s="36" t="s">
        <v>571</v>
      </c>
      <c r="C111" s="1">
        <v>207</v>
      </c>
      <c r="D111" s="44"/>
      <c r="E111" s="36" t="s">
        <v>264</v>
      </c>
      <c r="F111" s="1" t="s">
        <v>308</v>
      </c>
      <c r="G111" s="1">
        <v>1</v>
      </c>
      <c r="H111" s="36">
        <v>0.62</v>
      </c>
      <c r="I111" s="306">
        <v>10</v>
      </c>
      <c r="J111" s="18"/>
      <c r="K111" s="102" t="s">
        <v>234</v>
      </c>
      <c r="L111" s="102"/>
      <c r="M111" s="18">
        <v>1.72</v>
      </c>
      <c r="N111" s="47">
        <f>'PRECIOS INSUMOS 2015'!C$5</f>
        <v>2</v>
      </c>
      <c r="O111" s="18">
        <f t="shared" si="7"/>
        <v>3.44</v>
      </c>
      <c r="P111" s="18">
        <v>1.6129032258064517</v>
      </c>
      <c r="Q111" s="308">
        <f t="shared" si="8"/>
        <v>129.03225806451613</v>
      </c>
      <c r="R111" s="226"/>
      <c r="S111" s="57">
        <f>O111+Q111+R111</f>
        <v>132.47225806451613</v>
      </c>
    </row>
    <row r="112" spans="1:19" s="317" customFormat="1" x14ac:dyDescent="0.2">
      <c r="A112" s="302" t="s">
        <v>500</v>
      </c>
      <c r="B112" s="206" t="s">
        <v>263</v>
      </c>
      <c r="C112" s="207">
        <v>214</v>
      </c>
      <c r="D112" s="304"/>
      <c r="E112" s="206" t="s">
        <v>264</v>
      </c>
      <c r="F112" s="207" t="s">
        <v>308</v>
      </c>
      <c r="G112" s="207">
        <v>1</v>
      </c>
      <c r="H112" s="206"/>
      <c r="I112" s="209"/>
      <c r="J112" s="209"/>
      <c r="K112" s="233" t="s">
        <v>1366</v>
      </c>
      <c r="L112" s="233"/>
      <c r="M112" s="209">
        <v>0.35</v>
      </c>
      <c r="N112" s="13">
        <v>18</v>
      </c>
      <c r="O112" s="18">
        <f t="shared" si="7"/>
        <v>6.3</v>
      </c>
      <c r="P112" s="209"/>
      <c r="Q112" s="308">
        <f t="shared" si="8"/>
        <v>0</v>
      </c>
      <c r="R112" s="226"/>
      <c r="S112" s="306">
        <f>R112+Q112+O112</f>
        <v>6.3</v>
      </c>
    </row>
    <row r="113" spans="1:19" s="317" customFormat="1" x14ac:dyDescent="0.2">
      <c r="A113" s="302" t="s">
        <v>501</v>
      </c>
      <c r="B113" s="36" t="s">
        <v>571</v>
      </c>
      <c r="C113" s="1">
        <v>214</v>
      </c>
      <c r="D113" s="44"/>
      <c r="E113" s="36" t="s">
        <v>264</v>
      </c>
      <c r="F113" s="1" t="s">
        <v>308</v>
      </c>
      <c r="G113" s="1">
        <v>1</v>
      </c>
      <c r="H113" s="36">
        <v>0.62</v>
      </c>
      <c r="I113" s="306">
        <v>10</v>
      </c>
      <c r="J113" s="18"/>
      <c r="K113" s="102" t="s">
        <v>234</v>
      </c>
      <c r="L113" s="102"/>
      <c r="M113" s="18">
        <v>1.72</v>
      </c>
      <c r="N113" s="47">
        <f>'PRECIOS INSUMOS 2015'!C$5</f>
        <v>2</v>
      </c>
      <c r="O113" s="18">
        <f t="shared" si="7"/>
        <v>3.44</v>
      </c>
      <c r="P113" s="18">
        <v>1.6129032258064517</v>
      </c>
      <c r="Q113" s="308">
        <f t="shared" si="8"/>
        <v>129.03225806451613</v>
      </c>
      <c r="R113" s="226"/>
      <c r="S113" s="57">
        <f>O113+Q113+R113</f>
        <v>132.47225806451613</v>
      </c>
    </row>
    <row r="114" spans="1:19" s="317" customFormat="1" x14ac:dyDescent="0.2">
      <c r="A114" s="302" t="s">
        <v>502</v>
      </c>
      <c r="B114" s="206" t="s">
        <v>263</v>
      </c>
      <c r="C114" s="207">
        <v>221</v>
      </c>
      <c r="D114" s="304"/>
      <c r="E114" s="206" t="s">
        <v>264</v>
      </c>
      <c r="F114" s="207" t="s">
        <v>308</v>
      </c>
      <c r="G114" s="207">
        <v>1</v>
      </c>
      <c r="H114" s="206"/>
      <c r="I114" s="209"/>
      <c r="J114" s="209"/>
      <c r="K114" s="233" t="s">
        <v>1366</v>
      </c>
      <c r="L114" s="233"/>
      <c r="M114" s="209">
        <v>0.35</v>
      </c>
      <c r="N114" s="13">
        <v>18</v>
      </c>
      <c r="O114" s="18">
        <f t="shared" si="7"/>
        <v>6.3</v>
      </c>
      <c r="P114" s="209"/>
      <c r="Q114" s="308">
        <f t="shared" si="8"/>
        <v>0</v>
      </c>
      <c r="R114" s="226"/>
      <c r="S114" s="306">
        <f>R114+Q114+O114</f>
        <v>6.3</v>
      </c>
    </row>
    <row r="115" spans="1:19" s="317" customFormat="1" x14ac:dyDescent="0.2">
      <c r="A115" s="302" t="s">
        <v>503</v>
      </c>
      <c r="B115" s="36" t="s">
        <v>571</v>
      </c>
      <c r="C115" s="1">
        <v>221</v>
      </c>
      <c r="D115" s="44"/>
      <c r="E115" s="36" t="s">
        <v>264</v>
      </c>
      <c r="F115" s="1" t="s">
        <v>308</v>
      </c>
      <c r="G115" s="1">
        <v>1</v>
      </c>
      <c r="H115" s="36">
        <v>0.62</v>
      </c>
      <c r="I115" s="306">
        <v>10</v>
      </c>
      <c r="J115" s="18"/>
      <c r="K115" s="102" t="s">
        <v>234</v>
      </c>
      <c r="L115" s="102"/>
      <c r="M115" s="18">
        <v>1.72</v>
      </c>
      <c r="N115" s="47">
        <f>'PRECIOS INSUMOS 2015'!C$5</f>
        <v>2</v>
      </c>
      <c r="O115" s="18">
        <f t="shared" si="7"/>
        <v>3.44</v>
      </c>
      <c r="P115" s="18">
        <v>1.6129032258064517</v>
      </c>
      <c r="Q115" s="308">
        <f t="shared" si="8"/>
        <v>129.03225806451613</v>
      </c>
      <c r="R115" s="226"/>
      <c r="S115" s="57">
        <f>O115+Q115+R115</f>
        <v>132.47225806451613</v>
      </c>
    </row>
    <row r="116" spans="1:19" s="317" customFormat="1" x14ac:dyDescent="0.2">
      <c r="A116" s="302" t="s">
        <v>520</v>
      </c>
      <c r="B116" s="206" t="s">
        <v>263</v>
      </c>
      <c r="C116" s="207">
        <v>228</v>
      </c>
      <c r="D116" s="304"/>
      <c r="E116" s="206" t="s">
        <v>264</v>
      </c>
      <c r="F116" s="207" t="s">
        <v>308</v>
      </c>
      <c r="G116" s="207">
        <v>1</v>
      </c>
      <c r="H116" s="206"/>
      <c r="I116" s="209"/>
      <c r="J116" s="209"/>
      <c r="K116" s="233" t="s">
        <v>1366</v>
      </c>
      <c r="L116" s="233"/>
      <c r="M116" s="209">
        <v>0.35</v>
      </c>
      <c r="N116" s="13">
        <v>18</v>
      </c>
      <c r="O116" s="18">
        <f t="shared" ref="O116:O144" si="9">N116*M116</f>
        <v>6.3</v>
      </c>
      <c r="P116" s="209"/>
      <c r="Q116" s="308">
        <f t="shared" si="8"/>
        <v>0</v>
      </c>
      <c r="R116" s="226"/>
      <c r="S116" s="306">
        <f>R116+Q116+O116</f>
        <v>6.3</v>
      </c>
    </row>
    <row r="117" spans="1:19" s="317" customFormat="1" x14ac:dyDescent="0.2">
      <c r="A117" s="302" t="s">
        <v>538</v>
      </c>
      <c r="B117" s="36" t="s">
        <v>571</v>
      </c>
      <c r="C117" s="1">
        <v>228</v>
      </c>
      <c r="D117" s="44"/>
      <c r="E117" s="36" t="s">
        <v>264</v>
      </c>
      <c r="F117" s="1" t="s">
        <v>308</v>
      </c>
      <c r="G117" s="1">
        <v>1</v>
      </c>
      <c r="H117" s="36">
        <v>0.62</v>
      </c>
      <c r="I117" s="306">
        <v>10</v>
      </c>
      <c r="J117" s="18"/>
      <c r="K117" s="102" t="s">
        <v>234</v>
      </c>
      <c r="L117" s="102"/>
      <c r="M117" s="18">
        <v>1.72</v>
      </c>
      <c r="N117" s="47">
        <f>'PRECIOS INSUMOS 2015'!C$5</f>
        <v>2</v>
      </c>
      <c r="O117" s="18">
        <f t="shared" si="9"/>
        <v>3.44</v>
      </c>
      <c r="P117" s="18">
        <v>1.6129032258064517</v>
      </c>
      <c r="Q117" s="308">
        <f t="shared" si="8"/>
        <v>129.03225806451613</v>
      </c>
      <c r="R117" s="226"/>
      <c r="S117" s="57">
        <f>O117+Q117+R117</f>
        <v>132.47225806451613</v>
      </c>
    </row>
    <row r="118" spans="1:19" s="317" customFormat="1" x14ac:dyDescent="0.2">
      <c r="A118" s="302" t="s">
        <v>539</v>
      </c>
      <c r="B118" s="206" t="s">
        <v>263</v>
      </c>
      <c r="C118" s="207">
        <v>235</v>
      </c>
      <c r="D118" s="304"/>
      <c r="E118" s="206" t="s">
        <v>264</v>
      </c>
      <c r="F118" s="207" t="s">
        <v>308</v>
      </c>
      <c r="G118" s="207">
        <v>1</v>
      </c>
      <c r="H118" s="206"/>
      <c r="I118" s="209"/>
      <c r="J118" s="209"/>
      <c r="K118" s="233" t="s">
        <v>1366</v>
      </c>
      <c r="L118" s="233"/>
      <c r="M118" s="209">
        <v>0.35</v>
      </c>
      <c r="N118" s="13">
        <v>18</v>
      </c>
      <c r="O118" s="18">
        <f t="shared" si="9"/>
        <v>6.3</v>
      </c>
      <c r="P118" s="209"/>
      <c r="Q118" s="308">
        <f t="shared" si="8"/>
        <v>0</v>
      </c>
      <c r="R118" s="226"/>
      <c r="S118" s="306">
        <f>R118+Q118+O118</f>
        <v>6.3</v>
      </c>
    </row>
    <row r="119" spans="1:19" s="317" customFormat="1" x14ac:dyDescent="0.2">
      <c r="A119" s="302" t="s">
        <v>504</v>
      </c>
      <c r="B119" s="36" t="s">
        <v>571</v>
      </c>
      <c r="C119" s="1">
        <v>235</v>
      </c>
      <c r="D119" s="44"/>
      <c r="E119" s="36" t="s">
        <v>264</v>
      </c>
      <c r="F119" s="1" t="s">
        <v>308</v>
      </c>
      <c r="G119" s="1">
        <v>1</v>
      </c>
      <c r="H119" s="36">
        <v>0.62</v>
      </c>
      <c r="I119" s="306">
        <v>10</v>
      </c>
      <c r="J119" s="18"/>
      <c r="K119" s="102" t="s">
        <v>234</v>
      </c>
      <c r="L119" s="102"/>
      <c r="M119" s="18">
        <v>1.72</v>
      </c>
      <c r="N119" s="47">
        <f>'PRECIOS INSUMOS 2015'!C$5</f>
        <v>2</v>
      </c>
      <c r="O119" s="18">
        <f t="shared" si="9"/>
        <v>3.44</v>
      </c>
      <c r="P119" s="18">
        <v>1.6129032258064517</v>
      </c>
      <c r="Q119" s="308">
        <f t="shared" si="8"/>
        <v>129.03225806451613</v>
      </c>
      <c r="R119" s="226"/>
      <c r="S119" s="57">
        <f>O119+Q119+R119</f>
        <v>132.47225806451613</v>
      </c>
    </row>
    <row r="120" spans="1:19" s="317" customFormat="1" x14ac:dyDescent="0.2">
      <c r="A120" s="302" t="s">
        <v>540</v>
      </c>
      <c r="B120" s="206" t="s">
        <v>263</v>
      </c>
      <c r="C120" s="207">
        <v>242</v>
      </c>
      <c r="D120" s="304"/>
      <c r="E120" s="206" t="s">
        <v>264</v>
      </c>
      <c r="F120" s="207" t="s">
        <v>308</v>
      </c>
      <c r="G120" s="207">
        <v>1</v>
      </c>
      <c r="H120" s="206"/>
      <c r="I120" s="209"/>
      <c r="J120" s="209"/>
      <c r="K120" s="233" t="s">
        <v>1366</v>
      </c>
      <c r="L120" s="233"/>
      <c r="M120" s="209">
        <v>0.35</v>
      </c>
      <c r="N120" s="13">
        <v>18</v>
      </c>
      <c r="O120" s="18">
        <f t="shared" si="9"/>
        <v>6.3</v>
      </c>
      <c r="P120" s="209"/>
      <c r="Q120" s="308">
        <f t="shared" si="8"/>
        <v>0</v>
      </c>
      <c r="R120" s="226"/>
      <c r="S120" s="306">
        <f>R120+Q120+O120</f>
        <v>6.3</v>
      </c>
    </row>
    <row r="121" spans="1:19" s="317" customFormat="1" x14ac:dyDescent="0.2">
      <c r="A121" s="302" t="s">
        <v>521</v>
      </c>
      <c r="B121" s="36" t="s">
        <v>571</v>
      </c>
      <c r="C121" s="1">
        <v>242</v>
      </c>
      <c r="D121" s="44"/>
      <c r="E121" s="36" t="s">
        <v>264</v>
      </c>
      <c r="F121" s="1" t="s">
        <v>308</v>
      </c>
      <c r="G121" s="1">
        <v>1</v>
      </c>
      <c r="H121" s="36">
        <v>0.62</v>
      </c>
      <c r="I121" s="306">
        <v>10</v>
      </c>
      <c r="J121" s="18"/>
      <c r="K121" s="102" t="s">
        <v>234</v>
      </c>
      <c r="L121" s="102"/>
      <c r="M121" s="18">
        <v>1.72</v>
      </c>
      <c r="N121" s="47">
        <f>'PRECIOS INSUMOS 2015'!C$5</f>
        <v>2</v>
      </c>
      <c r="O121" s="18">
        <f t="shared" si="9"/>
        <v>3.44</v>
      </c>
      <c r="P121" s="18">
        <v>1.6129032258064517</v>
      </c>
      <c r="Q121" s="308">
        <f t="shared" si="8"/>
        <v>129.03225806451613</v>
      </c>
      <c r="R121" s="226"/>
      <c r="S121" s="57">
        <f>O121+Q121+R121</f>
        <v>132.47225806451613</v>
      </c>
    </row>
    <row r="122" spans="1:19" s="317" customFormat="1" x14ac:dyDescent="0.2">
      <c r="A122" s="302" t="s">
        <v>541</v>
      </c>
      <c r="B122" s="206" t="s">
        <v>263</v>
      </c>
      <c r="C122" s="207">
        <v>249</v>
      </c>
      <c r="D122" s="304"/>
      <c r="E122" s="206" t="s">
        <v>264</v>
      </c>
      <c r="F122" s="207" t="s">
        <v>308</v>
      </c>
      <c r="G122" s="207">
        <v>1</v>
      </c>
      <c r="H122" s="206"/>
      <c r="I122" s="209"/>
      <c r="J122" s="209"/>
      <c r="K122" s="233" t="s">
        <v>1366</v>
      </c>
      <c r="L122" s="233"/>
      <c r="M122" s="209">
        <v>0.35</v>
      </c>
      <c r="N122" s="13">
        <v>18</v>
      </c>
      <c r="O122" s="18">
        <f t="shared" si="9"/>
        <v>6.3</v>
      </c>
      <c r="P122" s="209"/>
      <c r="Q122" s="308">
        <f t="shared" si="8"/>
        <v>0</v>
      </c>
      <c r="R122" s="226"/>
      <c r="S122" s="306">
        <f>R122+Q122+O122</f>
        <v>6.3</v>
      </c>
    </row>
    <row r="123" spans="1:19" s="317" customFormat="1" x14ac:dyDescent="0.2">
      <c r="A123" s="302" t="s">
        <v>542</v>
      </c>
      <c r="B123" s="36" t="s">
        <v>571</v>
      </c>
      <c r="C123" s="1">
        <v>249</v>
      </c>
      <c r="D123" s="44"/>
      <c r="E123" s="36" t="s">
        <v>264</v>
      </c>
      <c r="F123" s="1" t="s">
        <v>308</v>
      </c>
      <c r="G123" s="1">
        <v>1</v>
      </c>
      <c r="H123" s="36">
        <v>0.62</v>
      </c>
      <c r="I123" s="306">
        <v>10</v>
      </c>
      <c r="J123" s="18"/>
      <c r="K123" s="102" t="s">
        <v>234</v>
      </c>
      <c r="L123" s="102"/>
      <c r="M123" s="18">
        <v>1.72</v>
      </c>
      <c r="N123" s="47">
        <f>'PRECIOS INSUMOS 2015'!C$5</f>
        <v>2</v>
      </c>
      <c r="O123" s="18">
        <f t="shared" si="9"/>
        <v>3.44</v>
      </c>
      <c r="P123" s="18">
        <v>1.6129032258064517</v>
      </c>
      <c r="Q123" s="308">
        <f t="shared" si="8"/>
        <v>129.03225806451613</v>
      </c>
      <c r="R123" s="226"/>
      <c r="S123" s="57">
        <f>O123+Q123+R123</f>
        <v>132.47225806451613</v>
      </c>
    </row>
    <row r="124" spans="1:19" s="317" customFormat="1" x14ac:dyDescent="0.2">
      <c r="A124" s="302" t="s">
        <v>543</v>
      </c>
      <c r="B124" s="206" t="s">
        <v>263</v>
      </c>
      <c r="C124" s="207">
        <v>256</v>
      </c>
      <c r="D124" s="304"/>
      <c r="E124" s="206" t="s">
        <v>264</v>
      </c>
      <c r="F124" s="207" t="s">
        <v>308</v>
      </c>
      <c r="G124" s="207">
        <v>1</v>
      </c>
      <c r="H124" s="206"/>
      <c r="I124" s="209"/>
      <c r="J124" s="209"/>
      <c r="K124" s="233" t="s">
        <v>1366</v>
      </c>
      <c r="L124" s="233"/>
      <c r="M124" s="209">
        <v>0.35</v>
      </c>
      <c r="N124" s="13">
        <v>18</v>
      </c>
      <c r="O124" s="18">
        <f t="shared" si="9"/>
        <v>6.3</v>
      </c>
      <c r="P124" s="209"/>
      <c r="Q124" s="308">
        <f t="shared" si="8"/>
        <v>0</v>
      </c>
      <c r="R124" s="226"/>
      <c r="S124" s="306">
        <f>R124+Q124+O124</f>
        <v>6.3</v>
      </c>
    </row>
    <row r="125" spans="1:19" s="317" customFormat="1" x14ac:dyDescent="0.2">
      <c r="A125" s="302" t="s">
        <v>505</v>
      </c>
      <c r="B125" s="36" t="s">
        <v>571</v>
      </c>
      <c r="C125" s="1">
        <v>256</v>
      </c>
      <c r="D125" s="44"/>
      <c r="E125" s="36" t="s">
        <v>264</v>
      </c>
      <c r="F125" s="1" t="s">
        <v>308</v>
      </c>
      <c r="G125" s="1">
        <v>1</v>
      </c>
      <c r="H125" s="36">
        <v>0.62</v>
      </c>
      <c r="I125" s="306">
        <v>10</v>
      </c>
      <c r="J125" s="18"/>
      <c r="K125" s="102" t="s">
        <v>234</v>
      </c>
      <c r="L125" s="102"/>
      <c r="M125" s="18">
        <v>1.72</v>
      </c>
      <c r="N125" s="47">
        <f>'PRECIOS INSUMOS 2015'!C$5</f>
        <v>2</v>
      </c>
      <c r="O125" s="18">
        <f t="shared" si="9"/>
        <v>3.44</v>
      </c>
      <c r="P125" s="18">
        <v>1.6129032258064517</v>
      </c>
      <c r="Q125" s="308">
        <f t="shared" si="8"/>
        <v>129.03225806451613</v>
      </c>
      <c r="R125" s="226"/>
      <c r="S125" s="57">
        <f>O125+Q125+R125</f>
        <v>132.47225806451613</v>
      </c>
    </row>
    <row r="126" spans="1:19" s="317" customFormat="1" x14ac:dyDescent="0.2">
      <c r="A126" s="302" t="s">
        <v>544</v>
      </c>
      <c r="B126" s="206" t="s">
        <v>263</v>
      </c>
      <c r="C126" s="207">
        <v>263</v>
      </c>
      <c r="D126" s="304"/>
      <c r="E126" s="206" t="s">
        <v>264</v>
      </c>
      <c r="F126" s="207" t="s">
        <v>308</v>
      </c>
      <c r="G126" s="207">
        <v>1</v>
      </c>
      <c r="H126" s="206"/>
      <c r="I126" s="209"/>
      <c r="J126" s="209"/>
      <c r="K126" s="233" t="s">
        <v>1366</v>
      </c>
      <c r="L126" s="233"/>
      <c r="M126" s="209">
        <v>0.35</v>
      </c>
      <c r="N126" s="13">
        <v>18</v>
      </c>
      <c r="O126" s="18">
        <f t="shared" si="9"/>
        <v>6.3</v>
      </c>
      <c r="P126" s="209"/>
      <c r="Q126" s="308">
        <f t="shared" si="8"/>
        <v>0</v>
      </c>
      <c r="R126" s="226"/>
      <c r="S126" s="306">
        <f>R126+Q126+O126</f>
        <v>6.3</v>
      </c>
    </row>
    <row r="127" spans="1:19" s="317" customFormat="1" x14ac:dyDescent="0.2">
      <c r="A127" s="302" t="s">
        <v>545</v>
      </c>
      <c r="B127" s="36" t="s">
        <v>571</v>
      </c>
      <c r="C127" s="1">
        <v>263</v>
      </c>
      <c r="D127" s="44"/>
      <c r="E127" s="36" t="s">
        <v>264</v>
      </c>
      <c r="F127" s="1" t="s">
        <v>308</v>
      </c>
      <c r="G127" s="1">
        <v>1</v>
      </c>
      <c r="H127" s="36">
        <v>0.62</v>
      </c>
      <c r="I127" s="306">
        <v>10</v>
      </c>
      <c r="J127" s="18"/>
      <c r="K127" s="102" t="s">
        <v>234</v>
      </c>
      <c r="L127" s="102"/>
      <c r="M127" s="18">
        <v>1.72</v>
      </c>
      <c r="N127" s="47">
        <f>'PRECIOS INSUMOS 2015'!C$5</f>
        <v>2</v>
      </c>
      <c r="O127" s="18">
        <f t="shared" si="9"/>
        <v>3.44</v>
      </c>
      <c r="P127" s="18">
        <v>1.6129032258064517</v>
      </c>
      <c r="Q127" s="308">
        <f t="shared" si="8"/>
        <v>129.03225806451613</v>
      </c>
      <c r="R127" s="226"/>
      <c r="S127" s="57">
        <f>O127+Q127+R127</f>
        <v>132.47225806451613</v>
      </c>
    </row>
    <row r="128" spans="1:19" s="317" customFormat="1" x14ac:dyDescent="0.2">
      <c r="A128" s="302" t="s">
        <v>522</v>
      </c>
      <c r="B128" s="206" t="s">
        <v>263</v>
      </c>
      <c r="C128" s="207">
        <v>270</v>
      </c>
      <c r="D128" s="304"/>
      <c r="E128" s="206" t="s">
        <v>264</v>
      </c>
      <c r="F128" s="207" t="s">
        <v>308</v>
      </c>
      <c r="G128" s="207">
        <v>1</v>
      </c>
      <c r="H128" s="206"/>
      <c r="I128" s="209"/>
      <c r="J128" s="209"/>
      <c r="K128" s="233" t="s">
        <v>1366</v>
      </c>
      <c r="L128" s="233"/>
      <c r="M128" s="209">
        <v>0.35</v>
      </c>
      <c r="N128" s="13">
        <v>18</v>
      </c>
      <c r="O128" s="18">
        <f t="shared" si="9"/>
        <v>6.3</v>
      </c>
      <c r="P128" s="209"/>
      <c r="Q128" s="308">
        <f t="shared" si="8"/>
        <v>0</v>
      </c>
      <c r="R128" s="226"/>
      <c r="S128" s="306">
        <f>R128+Q128+O128</f>
        <v>6.3</v>
      </c>
    </row>
    <row r="129" spans="1:19" s="317" customFormat="1" x14ac:dyDescent="0.2">
      <c r="A129" s="302" t="s">
        <v>546</v>
      </c>
      <c r="B129" s="36" t="s">
        <v>571</v>
      </c>
      <c r="C129" s="1">
        <v>270</v>
      </c>
      <c r="D129" s="44"/>
      <c r="E129" s="36" t="s">
        <v>264</v>
      </c>
      <c r="F129" s="1" t="s">
        <v>308</v>
      </c>
      <c r="G129" s="1">
        <v>1</v>
      </c>
      <c r="H129" s="36">
        <v>0.62</v>
      </c>
      <c r="I129" s="306">
        <v>10</v>
      </c>
      <c r="J129" s="18"/>
      <c r="K129" s="102" t="s">
        <v>234</v>
      </c>
      <c r="L129" s="102"/>
      <c r="M129" s="18">
        <v>1.72</v>
      </c>
      <c r="N129" s="47">
        <f>'PRECIOS INSUMOS 2015'!C$5</f>
        <v>2</v>
      </c>
      <c r="O129" s="18">
        <f t="shared" si="9"/>
        <v>3.44</v>
      </c>
      <c r="P129" s="18">
        <v>1.6129032258064517</v>
      </c>
      <c r="Q129" s="308">
        <f t="shared" si="8"/>
        <v>129.03225806451613</v>
      </c>
      <c r="R129" s="226"/>
      <c r="S129" s="57">
        <f>O129+Q129+R129</f>
        <v>132.47225806451613</v>
      </c>
    </row>
    <row r="130" spans="1:19" s="317" customFormat="1" x14ac:dyDescent="0.2">
      <c r="A130" s="302" t="s">
        <v>547</v>
      </c>
      <c r="B130" s="206" t="s">
        <v>263</v>
      </c>
      <c r="C130" s="207">
        <v>277</v>
      </c>
      <c r="D130" s="304"/>
      <c r="E130" s="206" t="s">
        <v>264</v>
      </c>
      <c r="F130" s="207" t="s">
        <v>308</v>
      </c>
      <c r="G130" s="207">
        <v>1</v>
      </c>
      <c r="H130" s="206"/>
      <c r="I130" s="209"/>
      <c r="J130" s="209"/>
      <c r="K130" s="233" t="s">
        <v>1366</v>
      </c>
      <c r="L130" s="233"/>
      <c r="M130" s="209">
        <v>0.35</v>
      </c>
      <c r="N130" s="13">
        <v>18</v>
      </c>
      <c r="O130" s="18">
        <f t="shared" si="9"/>
        <v>6.3</v>
      </c>
      <c r="P130" s="209"/>
      <c r="Q130" s="308">
        <f t="shared" si="8"/>
        <v>0</v>
      </c>
      <c r="R130" s="226"/>
      <c r="S130" s="306">
        <f>R130+Q130+O130</f>
        <v>6.3</v>
      </c>
    </row>
    <row r="131" spans="1:19" s="317" customFormat="1" x14ac:dyDescent="0.2">
      <c r="A131" s="302" t="s">
        <v>506</v>
      </c>
      <c r="B131" s="36" t="s">
        <v>571</v>
      </c>
      <c r="C131" s="1">
        <v>277</v>
      </c>
      <c r="D131" s="44"/>
      <c r="E131" s="36" t="s">
        <v>264</v>
      </c>
      <c r="F131" s="1" t="s">
        <v>308</v>
      </c>
      <c r="G131" s="1">
        <v>1</v>
      </c>
      <c r="H131" s="36">
        <v>0.62</v>
      </c>
      <c r="I131" s="306">
        <v>10</v>
      </c>
      <c r="J131" s="18"/>
      <c r="K131" s="102" t="s">
        <v>234</v>
      </c>
      <c r="L131" s="102"/>
      <c r="M131" s="18">
        <v>1.72</v>
      </c>
      <c r="N131" s="47">
        <f>'PRECIOS INSUMOS 2015'!C$5</f>
        <v>2</v>
      </c>
      <c r="O131" s="18">
        <f t="shared" si="9"/>
        <v>3.44</v>
      </c>
      <c r="P131" s="18">
        <v>1.6129032258064517</v>
      </c>
      <c r="Q131" s="308">
        <f t="shared" si="8"/>
        <v>129.03225806451613</v>
      </c>
      <c r="R131" s="226"/>
      <c r="S131" s="57">
        <f>O131+Q131+R131</f>
        <v>132.47225806451613</v>
      </c>
    </row>
    <row r="132" spans="1:19" s="317" customFormat="1" x14ac:dyDescent="0.2">
      <c r="A132" s="302" t="s">
        <v>508</v>
      </c>
      <c r="B132" s="206" t="s">
        <v>263</v>
      </c>
      <c r="C132" s="207">
        <v>284</v>
      </c>
      <c r="D132" s="304"/>
      <c r="E132" s="206" t="s">
        <v>264</v>
      </c>
      <c r="F132" s="207" t="s">
        <v>308</v>
      </c>
      <c r="G132" s="207">
        <v>1</v>
      </c>
      <c r="H132" s="206"/>
      <c r="I132" s="209"/>
      <c r="J132" s="209"/>
      <c r="K132" s="233" t="s">
        <v>1366</v>
      </c>
      <c r="L132" s="233"/>
      <c r="M132" s="209">
        <v>0.35</v>
      </c>
      <c r="N132" s="13">
        <v>18</v>
      </c>
      <c r="O132" s="18">
        <f t="shared" si="9"/>
        <v>6.3</v>
      </c>
      <c r="P132" s="209"/>
      <c r="Q132" s="308">
        <f t="shared" si="8"/>
        <v>0</v>
      </c>
      <c r="R132" s="226"/>
      <c r="S132" s="306">
        <f>R132+Q132+O132</f>
        <v>6.3</v>
      </c>
    </row>
    <row r="133" spans="1:19" s="317" customFormat="1" x14ac:dyDescent="0.2">
      <c r="A133" s="302" t="s">
        <v>548</v>
      </c>
      <c r="B133" s="36" t="s">
        <v>571</v>
      </c>
      <c r="C133" s="1">
        <v>284</v>
      </c>
      <c r="D133" s="44"/>
      <c r="E133" s="36" t="s">
        <v>264</v>
      </c>
      <c r="F133" s="1" t="s">
        <v>308</v>
      </c>
      <c r="G133" s="1">
        <v>1</v>
      </c>
      <c r="H133" s="36">
        <v>0.62</v>
      </c>
      <c r="I133" s="306">
        <v>10</v>
      </c>
      <c r="J133" s="18"/>
      <c r="K133" s="102" t="s">
        <v>234</v>
      </c>
      <c r="L133" s="102"/>
      <c r="M133" s="18">
        <v>1.72</v>
      </c>
      <c r="N133" s="47">
        <f>'PRECIOS INSUMOS 2015'!C$5</f>
        <v>2</v>
      </c>
      <c r="O133" s="18">
        <f t="shared" si="9"/>
        <v>3.44</v>
      </c>
      <c r="P133" s="18">
        <v>1.6129032258064517</v>
      </c>
      <c r="Q133" s="308">
        <f t="shared" si="8"/>
        <v>129.03225806451613</v>
      </c>
      <c r="R133" s="226"/>
      <c r="S133" s="57">
        <f>O133+Q133+R133</f>
        <v>132.47225806451613</v>
      </c>
    </row>
    <row r="134" spans="1:19" s="317" customFormat="1" x14ac:dyDescent="0.2">
      <c r="A134" s="302" t="s">
        <v>575</v>
      </c>
      <c r="B134" s="206" t="s">
        <v>263</v>
      </c>
      <c r="C134" s="207">
        <v>291</v>
      </c>
      <c r="D134" s="304"/>
      <c r="E134" s="206" t="s">
        <v>264</v>
      </c>
      <c r="F134" s="207" t="s">
        <v>308</v>
      </c>
      <c r="G134" s="207">
        <v>1</v>
      </c>
      <c r="H134" s="206"/>
      <c r="I134" s="209"/>
      <c r="J134" s="209"/>
      <c r="K134" s="233" t="s">
        <v>1366</v>
      </c>
      <c r="L134" s="233"/>
      <c r="M134" s="209">
        <v>0.35</v>
      </c>
      <c r="N134" s="13">
        <v>18</v>
      </c>
      <c r="O134" s="18">
        <f t="shared" si="9"/>
        <v>6.3</v>
      </c>
      <c r="P134" s="209"/>
      <c r="Q134" s="308">
        <f t="shared" si="8"/>
        <v>0</v>
      </c>
      <c r="R134" s="226"/>
      <c r="S134" s="306">
        <f>R134+Q134+O134</f>
        <v>6.3</v>
      </c>
    </row>
    <row r="135" spans="1:19" s="317" customFormat="1" x14ac:dyDescent="0.2">
      <c r="A135" s="302" t="s">
        <v>576</v>
      </c>
      <c r="B135" s="36" t="s">
        <v>571</v>
      </c>
      <c r="C135" s="1">
        <v>291</v>
      </c>
      <c r="D135" s="44"/>
      <c r="E135" s="36" t="s">
        <v>264</v>
      </c>
      <c r="F135" s="1" t="s">
        <v>308</v>
      </c>
      <c r="G135" s="1">
        <v>1</v>
      </c>
      <c r="H135" s="36">
        <v>0.62</v>
      </c>
      <c r="I135" s="306">
        <v>10</v>
      </c>
      <c r="J135" s="18"/>
      <c r="K135" s="102" t="s">
        <v>234</v>
      </c>
      <c r="L135" s="102"/>
      <c r="M135" s="18">
        <v>1.72</v>
      </c>
      <c r="N135" s="47">
        <f>'PRECIOS INSUMOS 2015'!C$5</f>
        <v>2</v>
      </c>
      <c r="O135" s="18">
        <f t="shared" si="9"/>
        <v>3.44</v>
      </c>
      <c r="P135" s="18">
        <v>1.6129032258064517</v>
      </c>
      <c r="Q135" s="308">
        <f t="shared" si="8"/>
        <v>129.03225806451613</v>
      </c>
      <c r="R135" s="226"/>
      <c r="S135" s="57">
        <f>O135+Q135+R135</f>
        <v>132.47225806451613</v>
      </c>
    </row>
    <row r="136" spans="1:19" s="317" customFormat="1" x14ac:dyDescent="0.2">
      <c r="A136" s="302" t="s">
        <v>577</v>
      </c>
      <c r="B136" s="206" t="s">
        <v>263</v>
      </c>
      <c r="C136" s="207">
        <v>298</v>
      </c>
      <c r="D136" s="304"/>
      <c r="E136" s="206" t="s">
        <v>264</v>
      </c>
      <c r="F136" s="207" t="s">
        <v>308</v>
      </c>
      <c r="G136" s="207">
        <v>1</v>
      </c>
      <c r="H136" s="206"/>
      <c r="I136" s="209"/>
      <c r="J136" s="209"/>
      <c r="K136" s="233" t="s">
        <v>1366</v>
      </c>
      <c r="L136" s="233"/>
      <c r="M136" s="209">
        <v>0.35</v>
      </c>
      <c r="N136" s="13">
        <v>18</v>
      </c>
      <c r="O136" s="18">
        <f t="shared" si="9"/>
        <v>6.3</v>
      </c>
      <c r="P136" s="209"/>
      <c r="Q136" s="308">
        <f t="shared" si="8"/>
        <v>0</v>
      </c>
      <c r="R136" s="226"/>
      <c r="S136" s="306">
        <f>R136+Q136+O136</f>
        <v>6.3</v>
      </c>
    </row>
    <row r="137" spans="1:19" s="317" customFormat="1" x14ac:dyDescent="0.2">
      <c r="A137" s="302" t="s">
        <v>578</v>
      </c>
      <c r="B137" s="36" t="s">
        <v>571</v>
      </c>
      <c r="C137" s="1">
        <v>298</v>
      </c>
      <c r="D137" s="44"/>
      <c r="E137" s="36" t="s">
        <v>264</v>
      </c>
      <c r="F137" s="1" t="s">
        <v>308</v>
      </c>
      <c r="G137" s="1">
        <v>1</v>
      </c>
      <c r="H137" s="36">
        <v>0.62</v>
      </c>
      <c r="I137" s="306">
        <v>10</v>
      </c>
      <c r="J137" s="18"/>
      <c r="K137" s="102" t="s">
        <v>234</v>
      </c>
      <c r="L137" s="102"/>
      <c r="M137" s="18">
        <v>1.72</v>
      </c>
      <c r="N137" s="47">
        <f>'PRECIOS INSUMOS 2015'!C$5</f>
        <v>2</v>
      </c>
      <c r="O137" s="18">
        <f t="shared" si="9"/>
        <v>3.44</v>
      </c>
      <c r="P137" s="18">
        <v>1.6129032258064517</v>
      </c>
      <c r="Q137" s="308">
        <f t="shared" si="8"/>
        <v>129.03225806451613</v>
      </c>
      <c r="R137" s="226"/>
      <c r="S137" s="57">
        <f>O137+Q137+R137</f>
        <v>132.47225806451613</v>
      </c>
    </row>
    <row r="138" spans="1:19" s="317" customFormat="1" x14ac:dyDescent="0.2">
      <c r="A138" s="302" t="s">
        <v>579</v>
      </c>
      <c r="B138" s="211" t="s">
        <v>394</v>
      </c>
      <c r="C138" s="207">
        <v>325</v>
      </c>
      <c r="D138" s="304" t="s">
        <v>257</v>
      </c>
      <c r="E138" s="206" t="s">
        <v>303</v>
      </c>
      <c r="F138" s="207" t="s">
        <v>291</v>
      </c>
      <c r="G138" s="207">
        <v>1</v>
      </c>
      <c r="H138" s="206">
        <v>0.5</v>
      </c>
      <c r="I138" s="306">
        <v>10</v>
      </c>
      <c r="J138" s="209"/>
      <c r="K138" s="233" t="s">
        <v>286</v>
      </c>
      <c r="L138" s="233"/>
      <c r="M138" s="209">
        <v>4</v>
      </c>
      <c r="N138" s="13">
        <f>'PRECIOS INSUMOS 2015'!C100</f>
        <v>15</v>
      </c>
      <c r="O138" s="18">
        <f t="shared" si="9"/>
        <v>60</v>
      </c>
      <c r="P138" s="209">
        <f>G138/H138</f>
        <v>2</v>
      </c>
      <c r="Q138" s="308">
        <f t="shared" ref="Q138:Q148" si="10">(I138+J138)*P138*8</f>
        <v>160</v>
      </c>
      <c r="R138" s="226"/>
      <c r="S138" s="306">
        <f>R138+Q138+O138</f>
        <v>220</v>
      </c>
    </row>
    <row r="139" spans="1:19" s="317" customFormat="1" x14ac:dyDescent="0.2">
      <c r="A139" s="302" t="s">
        <v>580</v>
      </c>
      <c r="B139" s="211" t="s">
        <v>394</v>
      </c>
      <c r="C139" s="207">
        <v>325</v>
      </c>
      <c r="D139" s="304" t="s">
        <v>257</v>
      </c>
      <c r="E139" s="206" t="s">
        <v>303</v>
      </c>
      <c r="F139" s="207" t="s">
        <v>291</v>
      </c>
      <c r="G139" s="207">
        <v>1</v>
      </c>
      <c r="H139" s="206"/>
      <c r="I139" s="209"/>
      <c r="J139" s="209"/>
      <c r="K139" s="233" t="s">
        <v>450</v>
      </c>
      <c r="L139" s="233"/>
      <c r="M139" s="209">
        <v>2</v>
      </c>
      <c r="N139" s="13">
        <f>'PRECIOS INSUMOS 2015'!C92</f>
        <v>30</v>
      </c>
      <c r="O139" s="18">
        <f t="shared" si="9"/>
        <v>60</v>
      </c>
      <c r="P139" s="209"/>
      <c r="Q139" s="308">
        <f t="shared" si="10"/>
        <v>0</v>
      </c>
      <c r="R139" s="226"/>
      <c r="S139" s="306"/>
    </row>
    <row r="140" spans="1:19" s="317" customFormat="1" x14ac:dyDescent="0.2">
      <c r="A140" s="302" t="s">
        <v>581</v>
      </c>
      <c r="B140" s="211" t="s">
        <v>394</v>
      </c>
      <c r="C140" s="207">
        <v>325</v>
      </c>
      <c r="D140" s="304" t="s">
        <v>257</v>
      </c>
      <c r="E140" s="206" t="s">
        <v>303</v>
      </c>
      <c r="F140" s="207" t="s">
        <v>308</v>
      </c>
      <c r="G140" s="207">
        <v>1</v>
      </c>
      <c r="H140" s="206"/>
      <c r="I140" s="209"/>
      <c r="J140" s="209"/>
      <c r="K140" s="233" t="s">
        <v>234</v>
      </c>
      <c r="L140" s="233"/>
      <c r="M140" s="209">
        <v>3.43</v>
      </c>
      <c r="N140" s="47">
        <f>'PRECIOS INSUMOS 2015'!C$5</f>
        <v>2</v>
      </c>
      <c r="O140" s="18">
        <f t="shared" si="9"/>
        <v>6.86</v>
      </c>
      <c r="P140" s="209"/>
      <c r="Q140" s="308">
        <f t="shared" si="10"/>
        <v>0</v>
      </c>
      <c r="R140" s="226"/>
      <c r="S140" s="306"/>
    </row>
    <row r="141" spans="1:19" s="317" customFormat="1" x14ac:dyDescent="0.2">
      <c r="A141" s="302" t="s">
        <v>582</v>
      </c>
      <c r="B141" s="206" t="s">
        <v>263</v>
      </c>
      <c r="C141" s="207">
        <v>327</v>
      </c>
      <c r="D141" s="304"/>
      <c r="E141" s="206" t="s">
        <v>264</v>
      </c>
      <c r="F141" s="207" t="s">
        <v>308</v>
      </c>
      <c r="G141" s="207">
        <v>1</v>
      </c>
      <c r="H141" s="206"/>
      <c r="I141" s="209"/>
      <c r="J141" s="209"/>
      <c r="K141" s="233" t="s">
        <v>1366</v>
      </c>
      <c r="L141" s="233"/>
      <c r="M141" s="209">
        <v>0.35</v>
      </c>
      <c r="N141" s="13">
        <v>18</v>
      </c>
      <c r="O141" s="18">
        <f t="shared" si="9"/>
        <v>6.3</v>
      </c>
      <c r="P141" s="209"/>
      <c r="Q141" s="308">
        <f t="shared" si="10"/>
        <v>0</v>
      </c>
      <c r="R141" s="226"/>
      <c r="S141" s="306">
        <f>R141+Q141+O141</f>
        <v>6.3</v>
      </c>
    </row>
    <row r="142" spans="1:19" s="317" customFormat="1" x14ac:dyDescent="0.2">
      <c r="A142" s="302" t="s">
        <v>583</v>
      </c>
      <c r="B142" s="36" t="s">
        <v>571</v>
      </c>
      <c r="C142" s="1">
        <v>327</v>
      </c>
      <c r="D142" s="44"/>
      <c r="E142" s="36" t="s">
        <v>264</v>
      </c>
      <c r="F142" s="1" t="s">
        <v>308</v>
      </c>
      <c r="G142" s="1">
        <v>1</v>
      </c>
      <c r="H142" s="36">
        <v>0.62</v>
      </c>
      <c r="I142" s="306">
        <v>10</v>
      </c>
      <c r="J142" s="18"/>
      <c r="K142" s="102" t="s">
        <v>234</v>
      </c>
      <c r="L142" s="102"/>
      <c r="M142" s="18">
        <v>1.72</v>
      </c>
      <c r="N142" s="47">
        <f>'PRECIOS INSUMOS 2015'!C$5</f>
        <v>2</v>
      </c>
      <c r="O142" s="18">
        <f t="shared" si="9"/>
        <v>3.44</v>
      </c>
      <c r="P142" s="18">
        <v>1.6129032258064517</v>
      </c>
      <c r="Q142" s="308">
        <f t="shared" si="10"/>
        <v>129.03225806451613</v>
      </c>
      <c r="R142" s="226"/>
      <c r="S142" s="57">
        <f>O142+Q142+R142</f>
        <v>132.47225806451613</v>
      </c>
    </row>
    <row r="143" spans="1:19" s="317" customFormat="1" x14ac:dyDescent="0.2">
      <c r="A143" s="302" t="s">
        <v>584</v>
      </c>
      <c r="B143" s="206" t="s">
        <v>431</v>
      </c>
      <c r="C143" s="207">
        <v>330</v>
      </c>
      <c r="D143" s="304" t="s">
        <v>257</v>
      </c>
      <c r="E143" s="206" t="s">
        <v>432</v>
      </c>
      <c r="F143" s="207" t="s">
        <v>437</v>
      </c>
      <c r="G143" s="207">
        <v>27.6</v>
      </c>
      <c r="H143" s="206">
        <v>90</v>
      </c>
      <c r="I143" s="306">
        <v>10</v>
      </c>
      <c r="J143" s="209"/>
      <c r="K143" s="233" t="s">
        <v>234</v>
      </c>
      <c r="L143" s="233"/>
      <c r="M143" s="209">
        <f>0.86*27</f>
        <v>23.22</v>
      </c>
      <c r="N143" s="47">
        <f>'PRECIOS INSUMOS 2015'!C$5</f>
        <v>2</v>
      </c>
      <c r="O143" s="18">
        <f t="shared" si="9"/>
        <v>46.44</v>
      </c>
      <c r="P143" s="209">
        <f t="shared" ref="P143:P148" si="11">G143/H143</f>
        <v>0.3066666666666667</v>
      </c>
      <c r="Q143" s="308">
        <f t="shared" si="10"/>
        <v>24.533333333333335</v>
      </c>
      <c r="R143" s="226"/>
      <c r="S143" s="306">
        <f t="shared" ref="S143:S149" si="12">R143+Q143+O143</f>
        <v>70.973333333333329</v>
      </c>
    </row>
    <row r="144" spans="1:19" s="317" customFormat="1" ht="13.5" thickBot="1" x14ac:dyDescent="0.25">
      <c r="A144" s="302" t="s">
        <v>585</v>
      </c>
      <c r="B144" s="206" t="s">
        <v>276</v>
      </c>
      <c r="C144" s="244">
        <v>330</v>
      </c>
      <c r="D144" s="244" t="s">
        <v>257</v>
      </c>
      <c r="E144" s="381" t="s">
        <v>262</v>
      </c>
      <c r="F144" s="244" t="s">
        <v>308</v>
      </c>
      <c r="G144" s="244">
        <v>1</v>
      </c>
      <c r="H144" s="381">
        <v>0.7</v>
      </c>
      <c r="I144" s="306">
        <v>10</v>
      </c>
      <c r="J144" s="247"/>
      <c r="K144" s="233" t="s">
        <v>234</v>
      </c>
      <c r="L144" s="233"/>
      <c r="M144" s="209">
        <f>151.24/13.42</f>
        <v>11.269746646795827</v>
      </c>
      <c r="N144" s="47">
        <f>'PRECIOS INSUMOS 2015'!C$5</f>
        <v>2</v>
      </c>
      <c r="O144" s="18">
        <f t="shared" si="9"/>
        <v>22.539493293591654</v>
      </c>
      <c r="P144" s="247">
        <f t="shared" si="11"/>
        <v>1.4285714285714286</v>
      </c>
      <c r="Q144" s="308">
        <f t="shared" si="10"/>
        <v>114.28571428571429</v>
      </c>
      <c r="R144" s="56"/>
      <c r="S144" s="306">
        <f t="shared" si="12"/>
        <v>136.82520757930595</v>
      </c>
    </row>
    <row r="145" spans="1:20" s="317" customFormat="1" x14ac:dyDescent="0.2">
      <c r="A145" s="302" t="s">
        <v>586</v>
      </c>
      <c r="B145" s="206" t="s">
        <v>569</v>
      </c>
      <c r="C145" s="207">
        <v>330</v>
      </c>
      <c r="D145" s="44" t="s">
        <v>266</v>
      </c>
      <c r="E145" s="206" t="s">
        <v>266</v>
      </c>
      <c r="F145" s="207" t="s">
        <v>437</v>
      </c>
      <c r="G145" s="207">
        <v>35</v>
      </c>
      <c r="H145" s="206">
        <v>10</v>
      </c>
      <c r="I145" s="209"/>
      <c r="J145" s="209">
        <v>10</v>
      </c>
      <c r="K145" s="233"/>
      <c r="L145" s="233"/>
      <c r="M145" s="209"/>
      <c r="N145" s="13"/>
      <c r="O145" s="18">
        <f>N145*M145</f>
        <v>0</v>
      </c>
      <c r="P145" s="209">
        <f t="shared" si="11"/>
        <v>3.5</v>
      </c>
      <c r="Q145" s="308">
        <f t="shared" si="10"/>
        <v>280</v>
      </c>
      <c r="R145" s="226"/>
      <c r="S145" s="306">
        <f t="shared" si="12"/>
        <v>280</v>
      </c>
    </row>
    <row r="146" spans="1:20" s="317" customFormat="1" x14ac:dyDescent="0.2">
      <c r="A146" s="302" t="s">
        <v>587</v>
      </c>
      <c r="B146" s="206" t="s">
        <v>431</v>
      </c>
      <c r="C146" s="207">
        <v>334</v>
      </c>
      <c r="D146" s="304" t="s">
        <v>257</v>
      </c>
      <c r="E146" s="206" t="s">
        <v>432</v>
      </c>
      <c r="F146" s="207" t="s">
        <v>437</v>
      </c>
      <c r="G146" s="329">
        <f>22/21.74</f>
        <v>1.0119595216191353</v>
      </c>
      <c r="H146" s="206">
        <v>90</v>
      </c>
      <c r="I146" s="306">
        <v>10</v>
      </c>
      <c r="J146" s="209"/>
      <c r="K146" s="233" t="s">
        <v>234</v>
      </c>
      <c r="L146" s="233"/>
      <c r="M146" s="209">
        <f>0.86*1.012</f>
        <v>0.87031999999999998</v>
      </c>
      <c r="N146" s="47">
        <f>'PRECIOS INSUMOS 2015'!C$5</f>
        <v>2</v>
      </c>
      <c r="O146" s="18">
        <f>N146*M146</f>
        <v>1.74064</v>
      </c>
      <c r="P146" s="209">
        <f t="shared" si="11"/>
        <v>1.1243994684657059E-2</v>
      </c>
      <c r="Q146" s="308">
        <f t="shared" si="10"/>
        <v>0.89951957477256472</v>
      </c>
      <c r="R146" s="226"/>
      <c r="S146" s="306">
        <f t="shared" si="12"/>
        <v>2.6401595747725648</v>
      </c>
    </row>
    <row r="147" spans="1:20" s="317" customFormat="1" x14ac:dyDescent="0.2">
      <c r="A147" s="302" t="s">
        <v>588</v>
      </c>
      <c r="B147" s="206" t="s">
        <v>307</v>
      </c>
      <c r="C147" s="207">
        <v>334</v>
      </c>
      <c r="D147" s="304" t="s">
        <v>257</v>
      </c>
      <c r="E147" s="206" t="s">
        <v>330</v>
      </c>
      <c r="F147" s="207" t="s">
        <v>308</v>
      </c>
      <c r="G147" s="207">
        <v>1</v>
      </c>
      <c r="H147" s="206">
        <v>0.5</v>
      </c>
      <c r="I147" s="306">
        <v>10</v>
      </c>
      <c r="J147" s="209"/>
      <c r="K147" s="233" t="s">
        <v>234</v>
      </c>
      <c r="L147" s="233"/>
      <c r="M147" s="209">
        <f>151.24/13.42</f>
        <v>11.269746646795827</v>
      </c>
      <c r="N147" s="47">
        <f>'PRECIOS INSUMOS 2015'!C$5</f>
        <v>2</v>
      </c>
      <c r="O147" s="18">
        <f>N147*M147</f>
        <v>22.539493293591654</v>
      </c>
      <c r="P147" s="209">
        <f t="shared" si="11"/>
        <v>2</v>
      </c>
      <c r="Q147" s="308">
        <f t="shared" si="10"/>
        <v>160</v>
      </c>
      <c r="R147" s="226"/>
      <c r="S147" s="306">
        <f t="shared" si="12"/>
        <v>182.53949329359165</v>
      </c>
    </row>
    <row r="148" spans="1:20" s="317" customFormat="1" ht="13.5" thickBot="1" x14ac:dyDescent="0.25">
      <c r="A148" s="302" t="s">
        <v>589</v>
      </c>
      <c r="B148" s="206" t="s">
        <v>569</v>
      </c>
      <c r="C148" s="207">
        <v>334</v>
      </c>
      <c r="D148" s="44" t="s">
        <v>266</v>
      </c>
      <c r="E148" s="206" t="s">
        <v>266</v>
      </c>
      <c r="F148" s="207" t="s">
        <v>437</v>
      </c>
      <c r="G148" s="207">
        <v>6</v>
      </c>
      <c r="H148" s="206">
        <v>6</v>
      </c>
      <c r="I148" s="209"/>
      <c r="J148" s="209">
        <v>10</v>
      </c>
      <c r="K148" s="233"/>
      <c r="L148" s="233"/>
      <c r="M148" s="209"/>
      <c r="N148" s="13"/>
      <c r="O148" s="18">
        <f>N148*M148</f>
        <v>0</v>
      </c>
      <c r="P148" s="209">
        <f t="shared" si="11"/>
        <v>1</v>
      </c>
      <c r="Q148" s="308">
        <f t="shared" si="10"/>
        <v>80</v>
      </c>
      <c r="R148" s="226"/>
      <c r="S148" s="306">
        <f t="shared" si="12"/>
        <v>80</v>
      </c>
    </row>
    <row r="149" spans="1:20" ht="13.5" thickBot="1" x14ac:dyDescent="0.25">
      <c r="A149" s="2149" t="s">
        <v>453</v>
      </c>
      <c r="B149" s="2150"/>
      <c r="C149" s="2150"/>
      <c r="D149" s="2150"/>
      <c r="E149" s="2151"/>
      <c r="F149" s="2151"/>
      <c r="G149" s="2151"/>
      <c r="H149" s="339"/>
      <c r="I149" s="340"/>
      <c r="J149" s="340"/>
      <c r="K149" s="382"/>
      <c r="L149" s="382"/>
      <c r="M149" s="387">
        <f>47*53</f>
        <v>2491</v>
      </c>
      <c r="N149" s="14">
        <v>0.27</v>
      </c>
      <c r="O149" s="361">
        <f>M149*N149</f>
        <v>672.57</v>
      </c>
      <c r="P149" s="341"/>
      <c r="Q149" s="255">
        <f>I149*P149*8</f>
        <v>0</v>
      </c>
      <c r="R149" s="255"/>
      <c r="S149" s="209">
        <f t="shared" si="12"/>
        <v>672.57</v>
      </c>
      <c r="T149" s="249"/>
    </row>
    <row r="150" spans="1:20" ht="13.5" thickBot="1" x14ac:dyDescent="0.25">
      <c r="A150" s="2152" t="s">
        <v>219</v>
      </c>
      <c r="B150" s="2153"/>
      <c r="C150" s="16"/>
      <c r="D150" s="342"/>
      <c r="E150" s="342"/>
      <c r="F150" s="342"/>
      <c r="G150" s="342">
        <v>1</v>
      </c>
      <c r="H150" s="343"/>
      <c r="I150" s="306">
        <v>10</v>
      </c>
      <c r="J150" s="209">
        <v>10</v>
      </c>
      <c r="K150" s="344"/>
      <c r="L150" s="964"/>
      <c r="M150" s="306"/>
      <c r="N150" s="19"/>
      <c r="O150" s="396">
        <f>SUM(O9:O149)</f>
        <v>11304.43093508196</v>
      </c>
      <c r="P150" s="19">
        <f>SUM(P9:P149)</f>
        <v>150.03232608837436</v>
      </c>
      <c r="Q150" s="345">
        <f>I150*P150*8</f>
        <v>12002.586087069949</v>
      </c>
      <c r="R150" s="363"/>
      <c r="S150" s="19">
        <f>SUM(S9:S149)</f>
        <v>23227.84932984423</v>
      </c>
      <c r="T150" s="249"/>
    </row>
    <row r="151" spans="1:20" ht="13.5" thickBot="1" x14ac:dyDescent="0.25">
      <c r="A151" s="364"/>
      <c r="B151" s="340"/>
      <c r="C151" s="340"/>
      <c r="D151" s="365"/>
      <c r="E151" s="365"/>
      <c r="F151" s="365"/>
      <c r="G151" s="366"/>
      <c r="H151" s="367"/>
      <c r="I151" s="362"/>
      <c r="J151" s="362"/>
      <c r="K151" s="340"/>
      <c r="L151" s="340"/>
      <c r="M151" s="362"/>
      <c r="N151" s="362"/>
      <c r="O151" s="368"/>
      <c r="P151" s="362"/>
      <c r="Q151" s="2156">
        <f>Q149+R149</f>
        <v>0</v>
      </c>
      <c r="R151" s="2157"/>
      <c r="S151" s="370"/>
    </row>
    <row r="152" spans="1:20" x14ac:dyDescent="0.2">
      <c r="A152" s="269" t="s">
        <v>250</v>
      </c>
      <c r="B152" s="259"/>
      <c r="C152" s="259"/>
      <c r="D152" s="259"/>
      <c r="E152" s="259"/>
      <c r="F152" s="259"/>
      <c r="G152" s="270"/>
      <c r="H152" s="271"/>
      <c r="I152" s="259"/>
      <c r="J152" s="259"/>
      <c r="K152" s="259"/>
      <c r="L152" s="259"/>
      <c r="M152" s="266"/>
      <c r="N152" s="266"/>
      <c r="O152" s="267"/>
      <c r="P152" s="266"/>
      <c r="Q152" s="2158"/>
      <c r="R152" s="2159"/>
      <c r="S152" s="322" t="s">
        <v>244</v>
      </c>
      <c r="T152" s="249"/>
    </row>
    <row r="153" spans="1:20" ht="13.5" thickBot="1" x14ac:dyDescent="0.25">
      <c r="A153" s="269"/>
      <c r="B153" s="259"/>
      <c r="C153" s="259"/>
      <c r="D153" s="259"/>
      <c r="E153" s="259"/>
      <c r="F153" s="259"/>
      <c r="G153" s="270"/>
      <c r="H153" s="271"/>
      <c r="I153" s="259"/>
      <c r="J153" s="259"/>
      <c r="K153" s="259"/>
      <c r="L153" s="259"/>
      <c r="M153" s="266"/>
      <c r="N153" s="266"/>
      <c r="O153" s="267"/>
      <c r="P153" s="264"/>
      <c r="Q153" s="52"/>
      <c r="R153" s="52"/>
      <c r="S153" s="323">
        <v>39917</v>
      </c>
      <c r="T153" s="249"/>
    </row>
    <row r="154" spans="1:20" ht="13.5" thickBot="1" x14ac:dyDescent="0.25">
      <c r="A154" s="272" t="s">
        <v>251</v>
      </c>
      <c r="B154" s="273"/>
      <c r="C154" s="273"/>
      <c r="D154" s="273"/>
      <c r="E154" s="273"/>
      <c r="F154" s="273"/>
      <c r="G154" s="275"/>
      <c r="H154" s="277"/>
      <c r="I154" s="273"/>
      <c r="J154" s="273"/>
      <c r="K154" s="273"/>
      <c r="L154" s="273"/>
      <c r="M154" s="195"/>
      <c r="N154" s="195"/>
      <c r="O154" s="279"/>
      <c r="P154" s="195"/>
      <c r="Q154" s="280"/>
      <c r="R154" s="280"/>
      <c r="S154" s="325"/>
    </row>
    <row r="155" spans="1:20" x14ac:dyDescent="0.2">
      <c r="M155" s="286"/>
    </row>
    <row r="157" spans="1:20" x14ac:dyDescent="0.2">
      <c r="M157" s="288">
        <f>SUBTOTAL(9,M9:M156)</f>
        <v>2922.7754675409856</v>
      </c>
    </row>
  </sheetData>
  <autoFilter ref="A7:T154"/>
  <mergeCells count="23">
    <mergeCell ref="P5:P6"/>
    <mergeCell ref="A1:S1"/>
    <mergeCell ref="A2:S2"/>
    <mergeCell ref="A3:D3"/>
    <mergeCell ref="E3:I3"/>
    <mergeCell ref="N3:P3"/>
    <mergeCell ref="Q3:R3"/>
    <mergeCell ref="Q152:R152"/>
    <mergeCell ref="S5:S7"/>
    <mergeCell ref="A149:G149"/>
    <mergeCell ref="A150:B150"/>
    <mergeCell ref="Q151:R151"/>
    <mergeCell ref="A4:A7"/>
    <mergeCell ref="B4:B7"/>
    <mergeCell ref="C4:C7"/>
    <mergeCell ref="D4:O4"/>
    <mergeCell ref="G5:G7"/>
    <mergeCell ref="F6:F7"/>
    <mergeCell ref="P4:S4"/>
    <mergeCell ref="K5:O6"/>
    <mergeCell ref="Q5:R6"/>
    <mergeCell ref="H5:H7"/>
    <mergeCell ref="I5:J6"/>
  </mergeCells>
  <phoneticPr fontId="0" type="noConversion"/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4"/>
  <sheetViews>
    <sheetView showGridLines="0" defaultGridColor="0" colorId="23" workbookViewId="0">
      <pane xSplit="17" ySplit="10" topLeftCell="R11" activePane="bottomRight" state="frozen"/>
      <selection pane="topRight" activeCell="R1" sqref="R1"/>
      <selection pane="bottomLeft" activeCell="A11" sqref="A11"/>
      <selection pane="bottomRight" activeCell="AH73" sqref="AH73"/>
    </sheetView>
  </sheetViews>
  <sheetFormatPr baseColWidth="10" defaultColWidth="11.42578125" defaultRowHeight="12.75" x14ac:dyDescent="0.2"/>
  <cols>
    <col min="1" max="1" width="4.42578125" style="317" customWidth="1"/>
    <col min="2" max="2" width="20.5703125" style="927" customWidth="1"/>
    <col min="3" max="3" width="6.7109375" style="317" hidden="1" customWidth="1"/>
    <col min="4" max="4" width="4.7109375" style="317" customWidth="1"/>
    <col min="5" max="6" width="9.42578125" style="317" customWidth="1"/>
    <col min="7" max="7" width="4.28515625" style="317" customWidth="1"/>
    <col min="8" max="8" width="5.7109375" style="928" customWidth="1"/>
    <col min="9" max="10" width="7" style="317" hidden="1" customWidth="1"/>
    <col min="11" max="11" width="8.5703125" style="929" hidden="1" customWidth="1"/>
    <col min="12" max="12" width="8.7109375" style="317" hidden="1" customWidth="1"/>
    <col min="13" max="13" width="6.7109375" style="929" customWidth="1"/>
    <col min="14" max="14" width="8.5703125" style="928" customWidth="1"/>
    <col min="15" max="15" width="6.42578125" style="317" hidden="1" customWidth="1"/>
    <col min="16" max="16" width="6.7109375" style="317" hidden="1" customWidth="1"/>
    <col min="17" max="17" width="12.7109375" style="930" customWidth="1"/>
    <col min="18" max="18" width="6.5703125" style="928" customWidth="1"/>
    <col min="19" max="19" width="8.7109375" style="289" hidden="1" customWidth="1"/>
    <col min="20" max="20" width="9" style="326" customWidth="1"/>
    <col min="21" max="21" width="7.7109375" style="289" customWidth="1"/>
    <col min="22" max="22" width="5.28515625" style="290" customWidth="1"/>
    <col min="23" max="23" width="8.42578125" style="317" hidden="1" customWidth="1"/>
    <col min="24" max="24" width="8.7109375" style="317" hidden="1" customWidth="1"/>
    <col min="25" max="25" width="8.28515625" style="928" customWidth="1"/>
    <col min="26" max="26" width="10.42578125" style="317" hidden="1" customWidth="1"/>
    <col min="27" max="27" width="9.7109375" style="317" hidden="1" customWidth="1"/>
    <col min="28" max="28" width="8.28515625" style="317" hidden="1" customWidth="1"/>
    <col min="29" max="29" width="9.28515625" style="317" hidden="1" customWidth="1"/>
    <col min="30" max="30" width="9.5703125" style="289" customWidth="1"/>
    <col min="31" max="31" width="12.28515625" style="289" hidden="1" customWidth="1"/>
    <col min="32" max="32" width="11.42578125" style="855"/>
    <col min="33" max="16384" width="11.42578125" style="317"/>
  </cols>
  <sheetData>
    <row r="1" spans="1:32" ht="20.25" x14ac:dyDescent="0.3">
      <c r="A1" s="2062" t="s">
        <v>231</v>
      </c>
      <c r="B1" s="2191"/>
      <c r="C1" s="2191"/>
      <c r="D1" s="2191"/>
      <c r="E1" s="2191"/>
      <c r="F1" s="2191"/>
      <c r="G1" s="2191"/>
      <c r="H1" s="2191"/>
      <c r="I1" s="2191"/>
      <c r="J1" s="2191"/>
      <c r="K1" s="2191"/>
      <c r="L1" s="2191"/>
      <c r="M1" s="2191"/>
      <c r="N1" s="2191"/>
      <c r="O1" s="2191"/>
      <c r="P1" s="2191"/>
      <c r="Q1" s="2191"/>
      <c r="R1" s="2191"/>
      <c r="S1" s="2191"/>
      <c r="T1" s="2191"/>
      <c r="U1" s="2191"/>
      <c r="V1" s="2191"/>
      <c r="W1" s="2191"/>
      <c r="X1" s="2191"/>
      <c r="Y1" s="2191"/>
      <c r="Z1" s="2191"/>
      <c r="AA1" s="2191"/>
      <c r="AB1" s="2191"/>
      <c r="AC1" s="2191"/>
      <c r="AD1" s="2192"/>
      <c r="AE1" s="109"/>
    </row>
    <row r="2" spans="1:32" ht="20.25" x14ac:dyDescent="0.3">
      <c r="A2" s="2193" t="s">
        <v>1380</v>
      </c>
      <c r="B2" s="2194"/>
      <c r="C2" s="2194"/>
      <c r="D2" s="2194"/>
      <c r="E2" s="2194"/>
      <c r="F2" s="2194"/>
      <c r="G2" s="2194"/>
      <c r="H2" s="2194"/>
      <c r="I2" s="2194"/>
      <c r="J2" s="2194"/>
      <c r="K2" s="2194"/>
      <c r="L2" s="2194"/>
      <c r="M2" s="2194"/>
      <c r="N2" s="2194"/>
      <c r="O2" s="2194"/>
      <c r="P2" s="2194"/>
      <c r="Q2" s="2194"/>
      <c r="R2" s="2194"/>
      <c r="S2" s="2194"/>
      <c r="T2" s="2194"/>
      <c r="U2" s="2194"/>
      <c r="V2" s="2194"/>
      <c r="W2" s="2194"/>
      <c r="X2" s="2194"/>
      <c r="Y2" s="2194"/>
      <c r="Z2" s="2194"/>
      <c r="AA2" s="2194"/>
      <c r="AB2" s="2194"/>
      <c r="AC2" s="2194"/>
      <c r="AD2" s="2195"/>
      <c r="AE2" s="109"/>
    </row>
    <row r="3" spans="1:32" ht="15.75" hidden="1" customHeight="1" x14ac:dyDescent="0.25">
      <c r="A3" s="849"/>
      <c r="B3" s="679"/>
      <c r="C3" s="510"/>
      <c r="D3" s="510"/>
      <c r="E3" s="510"/>
      <c r="F3" s="510"/>
      <c r="G3" s="510"/>
      <c r="H3" s="856"/>
      <c r="I3" s="510"/>
      <c r="J3" s="510"/>
      <c r="K3" s="857"/>
      <c r="L3" s="510"/>
      <c r="M3" s="857"/>
      <c r="N3" s="510"/>
      <c r="O3" s="510"/>
      <c r="P3" s="510"/>
      <c r="Q3" s="858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510"/>
      <c r="AC3" s="510"/>
      <c r="AD3" s="859"/>
      <c r="AE3" s="854"/>
    </row>
    <row r="4" spans="1:32" x14ac:dyDescent="0.2">
      <c r="A4" s="517"/>
      <c r="B4" s="513"/>
      <c r="C4" s="515"/>
      <c r="D4" s="515"/>
      <c r="E4" s="515"/>
      <c r="F4" s="515"/>
      <c r="G4" s="515"/>
      <c r="H4" s="67"/>
      <c r="I4" s="515"/>
      <c r="J4" s="515"/>
      <c r="K4" s="860"/>
      <c r="L4" s="515"/>
      <c r="M4" s="860"/>
      <c r="N4" s="67"/>
      <c r="O4" s="861"/>
      <c r="P4" s="515"/>
      <c r="Q4" s="45"/>
      <c r="R4" s="67"/>
      <c r="S4" s="862"/>
      <c r="T4" s="267"/>
      <c r="U4" s="862"/>
      <c r="V4" s="50"/>
      <c r="W4" s="515"/>
      <c r="X4" s="515"/>
      <c r="Y4" s="67"/>
      <c r="Z4" s="515"/>
      <c r="AA4" s="515"/>
      <c r="AB4" s="515"/>
      <c r="AC4" s="515"/>
      <c r="AD4" s="863"/>
      <c r="AE4" s="862"/>
    </row>
    <row r="5" spans="1:32" x14ac:dyDescent="0.2">
      <c r="A5" s="2196" t="s">
        <v>1381</v>
      </c>
      <c r="B5" s="2197"/>
      <c r="C5" s="515"/>
      <c r="D5" s="2057" t="s">
        <v>1382</v>
      </c>
      <c r="E5" s="2057"/>
      <c r="F5" s="2057"/>
      <c r="G5" s="515"/>
      <c r="H5" s="2057" t="s">
        <v>1383</v>
      </c>
      <c r="I5" s="2198"/>
      <c r="J5" s="2198"/>
      <c r="K5" s="2198"/>
      <c r="L5" s="2198"/>
      <c r="M5" s="2198"/>
      <c r="N5" s="2198"/>
      <c r="O5" s="2198"/>
      <c r="P5" s="2198"/>
      <c r="Q5" s="2198"/>
      <c r="R5" s="2198"/>
      <c r="S5" s="862"/>
      <c r="T5" s="2058" t="s">
        <v>1384</v>
      </c>
      <c r="U5" s="2057"/>
      <c r="V5" s="2057"/>
      <c r="W5" s="2057"/>
      <c r="X5" s="2057"/>
      <c r="Y5" s="2057"/>
      <c r="Z5" s="2057"/>
      <c r="AA5" s="2057"/>
      <c r="AB5" s="515"/>
      <c r="AC5" s="17" t="s">
        <v>1385</v>
      </c>
      <c r="AD5" s="853"/>
      <c r="AE5" s="17"/>
    </row>
    <row r="6" spans="1:32" ht="13.5" thickBot="1" x14ac:dyDescent="0.25">
      <c r="A6" s="518"/>
      <c r="B6" s="509"/>
      <c r="C6" s="516"/>
      <c r="D6" s="515"/>
      <c r="E6" s="516"/>
      <c r="F6" s="516"/>
      <c r="G6" s="516"/>
      <c r="H6" s="864"/>
      <c r="I6" s="516"/>
      <c r="J6" s="516"/>
      <c r="K6" s="865"/>
      <c r="L6" s="516"/>
      <c r="M6" s="865"/>
      <c r="N6" s="864"/>
      <c r="O6" s="516"/>
      <c r="P6" s="516"/>
      <c r="Q6" s="866"/>
      <c r="R6" s="864"/>
      <c r="S6" s="279"/>
      <c r="T6" s="324"/>
      <c r="U6" s="279"/>
      <c r="V6" s="280"/>
      <c r="W6" s="516"/>
      <c r="X6" s="516"/>
      <c r="Y6" s="864"/>
      <c r="Z6" s="516"/>
      <c r="AA6" s="516"/>
      <c r="AB6" s="516"/>
      <c r="AC6" s="516" t="s">
        <v>1386</v>
      </c>
      <c r="AD6" s="867"/>
      <c r="AE6" s="279"/>
    </row>
    <row r="7" spans="1:32" ht="13.5" thickBot="1" x14ac:dyDescent="0.25">
      <c r="A7" s="2102" t="s">
        <v>223</v>
      </c>
      <c r="B7" s="2165" t="s">
        <v>224</v>
      </c>
      <c r="C7" s="2056" t="s">
        <v>1387</v>
      </c>
      <c r="D7" s="2141" t="s">
        <v>1388</v>
      </c>
      <c r="E7" s="868" t="s">
        <v>216</v>
      </c>
      <c r="F7" s="17"/>
      <c r="G7" s="17"/>
      <c r="H7" s="52"/>
      <c r="I7" s="17"/>
      <c r="J7" s="17"/>
      <c r="K7" s="67"/>
      <c r="L7" s="17"/>
      <c r="M7" s="860"/>
      <c r="N7" s="17"/>
      <c r="O7" s="17"/>
      <c r="P7" s="17"/>
      <c r="Q7" s="45"/>
      <c r="R7" s="17"/>
      <c r="S7" s="17"/>
      <c r="T7" s="52"/>
      <c r="U7" s="853"/>
      <c r="V7" s="50"/>
      <c r="W7" s="17" t="s">
        <v>217</v>
      </c>
      <c r="X7" s="17"/>
      <c r="Y7" s="17"/>
      <c r="Z7" s="17"/>
      <c r="AA7" s="17"/>
      <c r="AB7" s="17"/>
      <c r="AC7" s="17"/>
      <c r="AD7" s="853"/>
      <c r="AE7" s="853"/>
    </row>
    <row r="8" spans="1:32" s="871" customFormat="1" ht="13.5" thickBot="1" x14ac:dyDescent="0.25">
      <c r="A8" s="2102"/>
      <c r="B8" s="2102"/>
      <c r="C8" s="2056"/>
      <c r="D8" s="2189"/>
      <c r="E8" s="850"/>
      <c r="F8" s="51"/>
      <c r="G8" s="869"/>
      <c r="H8" s="2180" t="s">
        <v>1389</v>
      </c>
      <c r="I8" s="2181"/>
      <c r="J8" s="2181"/>
      <c r="K8" s="2181"/>
      <c r="L8" s="2181"/>
      <c r="M8" s="2182"/>
      <c r="N8" s="2183" t="s">
        <v>1390</v>
      </c>
      <c r="O8" s="2080" t="s">
        <v>235</v>
      </c>
      <c r="P8" s="2166"/>
      <c r="Q8" s="2080" t="s">
        <v>218</v>
      </c>
      <c r="R8" s="2170"/>
      <c r="S8" s="2170"/>
      <c r="T8" s="2186"/>
      <c r="U8" s="2166"/>
      <c r="V8" s="851"/>
      <c r="W8" s="2080" t="s">
        <v>221</v>
      </c>
      <c r="X8" s="2166"/>
      <c r="Y8" s="870" t="s">
        <v>1391</v>
      </c>
      <c r="Z8" s="2170" t="s">
        <v>222</v>
      </c>
      <c r="AA8" s="2166"/>
      <c r="AB8" s="850"/>
      <c r="AC8" s="850"/>
      <c r="AD8" s="850" t="s">
        <v>219</v>
      </c>
      <c r="AE8" s="850"/>
      <c r="AF8" s="850"/>
    </row>
    <row r="9" spans="1:32" s="871" customFormat="1" ht="13.5" thickBot="1" x14ac:dyDescent="0.25">
      <c r="A9" s="2102"/>
      <c r="B9" s="2102"/>
      <c r="C9" s="2056"/>
      <c r="D9" s="2189"/>
      <c r="E9" s="853" t="s">
        <v>236</v>
      </c>
      <c r="F9" s="32" t="s">
        <v>237</v>
      </c>
      <c r="G9" s="2095" t="s">
        <v>226</v>
      </c>
      <c r="H9" s="2178" t="s">
        <v>1392</v>
      </c>
      <c r="I9" s="2095" t="s">
        <v>1392</v>
      </c>
      <c r="J9" s="32"/>
      <c r="K9" s="32" t="s">
        <v>220</v>
      </c>
      <c r="L9" s="32" t="s">
        <v>220</v>
      </c>
      <c r="M9" s="32" t="s">
        <v>220</v>
      </c>
      <c r="N9" s="2184"/>
      <c r="O9" s="2171"/>
      <c r="P9" s="2111"/>
      <c r="Q9" s="2171"/>
      <c r="R9" s="2172"/>
      <c r="S9" s="2172"/>
      <c r="T9" s="2187"/>
      <c r="U9" s="2111"/>
      <c r="V9" s="852" t="s">
        <v>1393</v>
      </c>
      <c r="W9" s="2171"/>
      <c r="X9" s="2111"/>
      <c r="Y9" s="872" t="s">
        <v>1394</v>
      </c>
      <c r="Z9" s="2173"/>
      <c r="AA9" s="2110"/>
      <c r="AB9" s="853" t="s">
        <v>1395</v>
      </c>
      <c r="AC9" s="853" t="s">
        <v>1396</v>
      </c>
      <c r="AD9" s="853" t="s">
        <v>1397</v>
      </c>
      <c r="AE9" s="853" t="s">
        <v>1397</v>
      </c>
      <c r="AF9" s="853" t="s">
        <v>1397</v>
      </c>
    </row>
    <row r="10" spans="1:32" s="871" customFormat="1" ht="13.5" thickBot="1" x14ac:dyDescent="0.25">
      <c r="A10" s="2103"/>
      <c r="B10" s="2103"/>
      <c r="C10" s="2188"/>
      <c r="D10" s="2190"/>
      <c r="E10" s="873" t="s">
        <v>238</v>
      </c>
      <c r="F10" s="90" t="s">
        <v>238</v>
      </c>
      <c r="G10" s="2096"/>
      <c r="H10" s="2179"/>
      <c r="I10" s="2096"/>
      <c r="J10" s="90"/>
      <c r="K10" s="90" t="s">
        <v>1398</v>
      </c>
      <c r="L10" s="90" t="s">
        <v>1399</v>
      </c>
      <c r="M10" s="90" t="s">
        <v>1399</v>
      </c>
      <c r="N10" s="2185"/>
      <c r="O10" s="27" t="s">
        <v>239</v>
      </c>
      <c r="P10" s="28" t="s">
        <v>240</v>
      </c>
      <c r="Q10" s="30" t="s">
        <v>225</v>
      </c>
      <c r="R10" s="874" t="s">
        <v>220</v>
      </c>
      <c r="S10" s="30" t="s">
        <v>220</v>
      </c>
      <c r="T10" s="874" t="s">
        <v>227</v>
      </c>
      <c r="U10" s="49" t="s">
        <v>241</v>
      </c>
      <c r="V10" s="875"/>
      <c r="W10" s="29" t="s">
        <v>239</v>
      </c>
      <c r="X10" s="347" t="s">
        <v>240</v>
      </c>
      <c r="Y10" s="876"/>
      <c r="Z10" s="29" t="s">
        <v>239</v>
      </c>
      <c r="AA10" s="347" t="s">
        <v>240</v>
      </c>
      <c r="AB10" s="873" t="s">
        <v>1400</v>
      </c>
      <c r="AC10" s="873" t="s">
        <v>1400</v>
      </c>
      <c r="AD10" s="873" t="s">
        <v>1401</v>
      </c>
      <c r="AE10" s="853" t="s">
        <v>1402</v>
      </c>
      <c r="AF10" s="853" t="s">
        <v>1402</v>
      </c>
    </row>
    <row r="11" spans="1:32" s="882" customFormat="1" ht="13.5" thickBot="1" x14ac:dyDescent="0.25">
      <c r="A11" s="877">
        <v>1</v>
      </c>
      <c r="B11" s="878">
        <v>2</v>
      </c>
      <c r="C11" s="879">
        <v>3</v>
      </c>
      <c r="D11" s="877">
        <v>4</v>
      </c>
      <c r="E11" s="879">
        <v>5</v>
      </c>
      <c r="F11" s="879">
        <v>6</v>
      </c>
      <c r="G11" s="879">
        <v>7</v>
      </c>
      <c r="H11" s="879">
        <v>8</v>
      </c>
      <c r="I11" s="879">
        <v>8</v>
      </c>
      <c r="J11" s="879"/>
      <c r="K11" s="879"/>
      <c r="L11" s="879">
        <v>9</v>
      </c>
      <c r="M11" s="879">
        <v>9</v>
      </c>
      <c r="N11" s="879">
        <v>10</v>
      </c>
      <c r="O11" s="879">
        <v>10</v>
      </c>
      <c r="P11" s="878">
        <v>11</v>
      </c>
      <c r="Q11" s="878">
        <v>11</v>
      </c>
      <c r="R11" s="878">
        <v>12</v>
      </c>
      <c r="S11" s="878">
        <v>13</v>
      </c>
      <c r="T11" s="877">
        <v>13</v>
      </c>
      <c r="U11" s="878">
        <v>14</v>
      </c>
      <c r="V11" s="878">
        <v>15</v>
      </c>
      <c r="W11" s="879">
        <v>16</v>
      </c>
      <c r="X11" s="879">
        <v>17</v>
      </c>
      <c r="Y11" s="879">
        <v>16</v>
      </c>
      <c r="Z11" s="877">
        <v>18</v>
      </c>
      <c r="AA11" s="880">
        <v>19</v>
      </c>
      <c r="AB11" s="879">
        <v>20</v>
      </c>
      <c r="AC11" s="879">
        <v>21</v>
      </c>
      <c r="AD11" s="879">
        <v>17</v>
      </c>
      <c r="AE11" s="878">
        <v>18</v>
      </c>
      <c r="AF11" s="881"/>
    </row>
    <row r="12" spans="1:32" ht="13.5" thickBot="1" x14ac:dyDescent="0.25">
      <c r="A12" s="883">
        <v>1</v>
      </c>
      <c r="B12" s="884" t="s">
        <v>253</v>
      </c>
      <c r="C12" s="85"/>
      <c r="D12" s="85">
        <v>-60</v>
      </c>
      <c r="E12" s="85" t="s">
        <v>1403</v>
      </c>
      <c r="F12" s="85" t="s">
        <v>1404</v>
      </c>
      <c r="G12" s="85" t="s">
        <v>308</v>
      </c>
      <c r="H12" s="885">
        <f>I12/324</f>
        <v>1</v>
      </c>
      <c r="I12" s="85">
        <v>324</v>
      </c>
      <c r="J12" s="85"/>
      <c r="K12" s="886">
        <f>L12/324</f>
        <v>0.15432098765432098</v>
      </c>
      <c r="L12" s="85">
        <v>50</v>
      </c>
      <c r="M12" s="885">
        <v>3</v>
      </c>
      <c r="N12" s="885">
        <v>10</v>
      </c>
      <c r="O12" s="887">
        <v>1.36</v>
      </c>
      <c r="P12" s="85"/>
      <c r="Q12" s="888" t="s">
        <v>234</v>
      </c>
      <c r="R12" s="226">
        <f t="shared" ref="R12:R74" si="0">S12/13.42</f>
        <v>27.570789865871834</v>
      </c>
      <c r="S12" s="889">
        <v>370</v>
      </c>
      <c r="T12" s="202">
        <f>'PRECIOS INSUMOS 2015'!C$5</f>
        <v>2</v>
      </c>
      <c r="U12" s="202">
        <f>R12*T12</f>
        <v>55.141579731743668</v>
      </c>
      <c r="V12" s="885">
        <f>H12/M12</f>
        <v>0.33333333333333331</v>
      </c>
      <c r="W12" s="890">
        <f>I12/L12</f>
        <v>6.48</v>
      </c>
      <c r="X12" s="890"/>
      <c r="Y12" s="885">
        <f>N12*V12*8</f>
        <v>26.666666666666664</v>
      </c>
      <c r="Z12" s="887">
        <f>W12*O12*8</f>
        <v>70.502400000000009</v>
      </c>
      <c r="AA12" s="887"/>
      <c r="AB12" s="887"/>
      <c r="AC12" s="85"/>
      <c r="AD12" s="202">
        <f>U12+Y12</f>
        <v>81.808246398410333</v>
      </c>
      <c r="AE12" s="891">
        <f>AD12</f>
        <v>81.808246398410333</v>
      </c>
      <c r="AF12" s="892">
        <f>U12+Y12</f>
        <v>81.808246398410333</v>
      </c>
    </row>
    <row r="13" spans="1:32" ht="13.5" thickBot="1" x14ac:dyDescent="0.25">
      <c r="A13" s="893">
        <v>2</v>
      </c>
      <c r="B13" s="12" t="s">
        <v>1405</v>
      </c>
      <c r="C13" s="1"/>
      <c r="D13" s="1">
        <v>-60</v>
      </c>
      <c r="E13" s="1" t="s">
        <v>266</v>
      </c>
      <c r="F13" s="1" t="s">
        <v>266</v>
      </c>
      <c r="G13" s="85" t="s">
        <v>308</v>
      </c>
      <c r="H13" s="885">
        <v>1</v>
      </c>
      <c r="I13" s="1">
        <v>760</v>
      </c>
      <c r="J13" s="44"/>
      <c r="K13" s="886">
        <f t="shared" ref="K13:K18" si="1">L13/324</f>
        <v>0.30864197530864196</v>
      </c>
      <c r="L13" s="1">
        <v>100</v>
      </c>
      <c r="M13" s="885">
        <v>5</v>
      </c>
      <c r="N13" s="885">
        <v>10</v>
      </c>
      <c r="O13" s="1"/>
      <c r="P13" s="1">
        <v>1.7</v>
      </c>
      <c r="Q13" s="385"/>
      <c r="R13" s="226"/>
      <c r="S13" s="251"/>
      <c r="T13" s="841"/>
      <c r="U13" s="202">
        <f t="shared" ref="U13:U76" si="2">R13*T13</f>
        <v>0</v>
      </c>
      <c r="V13" s="885">
        <f t="shared" ref="V13:V76" si="3">H13/M13</f>
        <v>0.2</v>
      </c>
      <c r="W13" s="894"/>
      <c r="X13" s="224">
        <f>I13/L13</f>
        <v>7.6</v>
      </c>
      <c r="Y13" s="885">
        <f t="shared" ref="Y13:Y76" si="4">N13*V13*8</f>
        <v>16</v>
      </c>
      <c r="Z13" s="224"/>
      <c r="AA13" s="224">
        <f>X13*P13*8</f>
        <v>103.36</v>
      </c>
      <c r="AB13" s="1"/>
      <c r="AC13" s="1"/>
      <c r="AD13" s="202">
        <f t="shared" ref="AD13:AD76" si="5">U13+Y13</f>
        <v>16</v>
      </c>
      <c r="AE13" s="295">
        <f>AE12+AD13</f>
        <v>97.808246398410333</v>
      </c>
      <c r="AF13" s="892">
        <f t="shared" ref="AF13:AF76" si="6">U13+Y13</f>
        <v>16</v>
      </c>
    </row>
    <row r="14" spans="1:32" ht="13.5" thickBot="1" x14ac:dyDescent="0.25">
      <c r="A14" s="893">
        <v>3</v>
      </c>
      <c r="B14" s="12" t="s">
        <v>1406</v>
      </c>
      <c r="C14" s="1"/>
      <c r="D14" s="1">
        <v>-40</v>
      </c>
      <c r="E14" s="85" t="s">
        <v>1403</v>
      </c>
      <c r="F14" s="1" t="s">
        <v>1407</v>
      </c>
      <c r="G14" s="85" t="s">
        <v>308</v>
      </c>
      <c r="H14" s="885">
        <f>I14/324</f>
        <v>1</v>
      </c>
      <c r="I14" s="1">
        <v>324</v>
      </c>
      <c r="J14" s="44"/>
      <c r="K14" s="886">
        <f t="shared" si="1"/>
        <v>0.46296296296296297</v>
      </c>
      <c r="L14" s="1">
        <v>150</v>
      </c>
      <c r="M14" s="885">
        <f>K14*13.42</f>
        <v>6.2129629629629628</v>
      </c>
      <c r="N14" s="885">
        <v>10</v>
      </c>
      <c r="O14" s="224">
        <v>1.36</v>
      </c>
      <c r="P14" s="1"/>
      <c r="Q14" s="385" t="s">
        <v>234</v>
      </c>
      <c r="R14" s="226">
        <f t="shared" si="0"/>
        <v>7.9731743666169894</v>
      </c>
      <c r="S14" s="251">
        <v>107</v>
      </c>
      <c r="T14" s="202">
        <f>'PRECIOS INSUMOS 2015'!C$5</f>
        <v>2</v>
      </c>
      <c r="U14" s="202">
        <f t="shared" si="2"/>
        <v>15.946348733233979</v>
      </c>
      <c r="V14" s="885">
        <f t="shared" si="3"/>
        <v>0.16095380029806261</v>
      </c>
      <c r="W14" s="894">
        <f t="shared" ref="W14:W21" si="7">I14/L14</f>
        <v>2.16</v>
      </c>
      <c r="X14" s="894"/>
      <c r="Y14" s="885">
        <f t="shared" si="4"/>
        <v>12.876304023845009</v>
      </c>
      <c r="Z14" s="224">
        <f t="shared" ref="Z14:Z73" si="8">W14*O14*8</f>
        <v>23.500800000000002</v>
      </c>
      <c r="AA14" s="224"/>
      <c r="AB14" s="224"/>
      <c r="AC14" s="224"/>
      <c r="AD14" s="202">
        <f t="shared" si="5"/>
        <v>28.822652757078988</v>
      </c>
      <c r="AE14" s="295">
        <f t="shared" ref="AE14:AE77" si="9">AE13+AD14</f>
        <v>126.63089915548932</v>
      </c>
      <c r="AF14" s="892">
        <f t="shared" si="6"/>
        <v>28.822652757078988</v>
      </c>
    </row>
    <row r="15" spans="1:32" ht="13.5" thickBot="1" x14ac:dyDescent="0.25">
      <c r="A15" s="893">
        <v>4</v>
      </c>
      <c r="B15" s="12" t="s">
        <v>1408</v>
      </c>
      <c r="C15" s="1"/>
      <c r="D15" s="1">
        <v>-30</v>
      </c>
      <c r="E15" s="1" t="s">
        <v>1409</v>
      </c>
      <c r="F15" s="1" t="s">
        <v>484</v>
      </c>
      <c r="G15" s="85" t="s">
        <v>308</v>
      </c>
      <c r="H15" s="885">
        <f>I15/324</f>
        <v>1</v>
      </c>
      <c r="I15" s="1">
        <v>324</v>
      </c>
      <c r="J15" s="44"/>
      <c r="K15" s="886">
        <f t="shared" si="1"/>
        <v>0.25</v>
      </c>
      <c r="L15" s="1">
        <v>81</v>
      </c>
      <c r="M15" s="885">
        <f>K15*13.42</f>
        <v>3.355</v>
      </c>
      <c r="N15" s="885">
        <v>10</v>
      </c>
      <c r="O15" s="1">
        <v>1.36</v>
      </c>
      <c r="P15" s="1"/>
      <c r="Q15" s="385" t="s">
        <v>234</v>
      </c>
      <c r="R15" s="226">
        <f t="shared" si="0"/>
        <v>29.061102831594635</v>
      </c>
      <c r="S15" s="251">
        <v>390</v>
      </c>
      <c r="T15" s="202">
        <f>'PRECIOS INSUMOS 2015'!C$5</f>
        <v>2</v>
      </c>
      <c r="U15" s="202">
        <f t="shared" si="2"/>
        <v>58.12220566318927</v>
      </c>
      <c r="V15" s="885">
        <f t="shared" si="3"/>
        <v>0.29806259314456035</v>
      </c>
      <c r="W15" s="894">
        <f t="shared" si="7"/>
        <v>4</v>
      </c>
      <c r="X15" s="894"/>
      <c r="Y15" s="885">
        <f t="shared" si="4"/>
        <v>23.845007451564829</v>
      </c>
      <c r="Z15" s="224">
        <f t="shared" si="8"/>
        <v>43.52</v>
      </c>
      <c r="AA15" s="224"/>
      <c r="AB15" s="224"/>
      <c r="AC15" s="1"/>
      <c r="AD15" s="202">
        <f t="shared" si="5"/>
        <v>81.967213114754102</v>
      </c>
      <c r="AE15" s="295">
        <f t="shared" si="9"/>
        <v>208.5981122702434</v>
      </c>
      <c r="AF15" s="892">
        <f t="shared" si="6"/>
        <v>81.967213114754102</v>
      </c>
    </row>
    <row r="16" spans="1:32" ht="13.5" thickBot="1" x14ac:dyDescent="0.25">
      <c r="A16" s="893">
        <v>5</v>
      </c>
      <c r="B16" s="12" t="s">
        <v>258</v>
      </c>
      <c r="C16" s="1"/>
      <c r="D16" s="1">
        <v>-20</v>
      </c>
      <c r="E16" s="85" t="s">
        <v>1403</v>
      </c>
      <c r="F16" s="1" t="s">
        <v>1404</v>
      </c>
      <c r="G16" s="85" t="s">
        <v>308</v>
      </c>
      <c r="H16" s="885">
        <f>I16/324</f>
        <v>1</v>
      </c>
      <c r="I16" s="1">
        <v>324</v>
      </c>
      <c r="J16" s="44"/>
      <c r="K16" s="886">
        <f t="shared" si="1"/>
        <v>0.16975308641975309</v>
      </c>
      <c r="L16" s="1">
        <v>55</v>
      </c>
      <c r="M16" s="885">
        <f>K16*13.42</f>
        <v>2.2780864197530866</v>
      </c>
      <c r="N16" s="885">
        <v>10</v>
      </c>
      <c r="O16" s="1">
        <v>1.36</v>
      </c>
      <c r="P16" s="1"/>
      <c r="Q16" s="385" t="s">
        <v>234</v>
      </c>
      <c r="R16" s="226">
        <f t="shared" si="0"/>
        <v>27.570789865871834</v>
      </c>
      <c r="S16" s="251">
        <v>370</v>
      </c>
      <c r="T16" s="202">
        <f>'PRECIOS INSUMOS 2015'!C$5</f>
        <v>2</v>
      </c>
      <c r="U16" s="202">
        <f t="shared" si="2"/>
        <v>55.141579731743668</v>
      </c>
      <c r="V16" s="885">
        <f t="shared" si="3"/>
        <v>0.43896490990380704</v>
      </c>
      <c r="W16" s="224">
        <f t="shared" si="7"/>
        <v>5.8909090909090907</v>
      </c>
      <c r="X16" s="894"/>
      <c r="Y16" s="885">
        <f t="shared" si="4"/>
        <v>35.117192792304564</v>
      </c>
      <c r="Z16" s="224">
        <f t="shared" si="8"/>
        <v>64.093090909090904</v>
      </c>
      <c r="AA16" s="224"/>
      <c r="AB16" s="224"/>
      <c r="AC16" s="1"/>
      <c r="AD16" s="202">
        <f t="shared" si="5"/>
        <v>90.258772524048226</v>
      </c>
      <c r="AE16" s="295">
        <f t="shared" si="9"/>
        <v>298.85688479429166</v>
      </c>
      <c r="AF16" s="892">
        <f t="shared" si="6"/>
        <v>90.258772524048226</v>
      </c>
    </row>
    <row r="17" spans="1:32" ht="13.5" thickBot="1" x14ac:dyDescent="0.25">
      <c r="A17" s="893">
        <v>6</v>
      </c>
      <c r="B17" s="12" t="s">
        <v>330</v>
      </c>
      <c r="C17" s="1"/>
      <c r="D17" s="1">
        <v>-15</v>
      </c>
      <c r="E17" s="1" t="s">
        <v>1409</v>
      </c>
      <c r="F17" s="1" t="s">
        <v>1410</v>
      </c>
      <c r="G17" s="85" t="s">
        <v>308</v>
      </c>
      <c r="H17" s="885">
        <f>I17/324</f>
        <v>1</v>
      </c>
      <c r="I17" s="1">
        <v>324</v>
      </c>
      <c r="J17" s="44"/>
      <c r="K17" s="886">
        <f t="shared" si="1"/>
        <v>0.37037037037037035</v>
      </c>
      <c r="L17" s="1">
        <v>120</v>
      </c>
      <c r="M17" s="885">
        <f>K17*13.42</f>
        <v>4.9703703703703699</v>
      </c>
      <c r="N17" s="885">
        <v>10</v>
      </c>
      <c r="O17" s="1">
        <v>1.36</v>
      </c>
      <c r="P17" s="1"/>
      <c r="Q17" s="385" t="s">
        <v>234</v>
      </c>
      <c r="R17" s="226">
        <f t="shared" si="0"/>
        <v>14.157973174366617</v>
      </c>
      <c r="S17" s="251">
        <v>190</v>
      </c>
      <c r="T17" s="202">
        <f>'PRECIOS INSUMOS 2015'!C$5</f>
        <v>2</v>
      </c>
      <c r="U17" s="202">
        <f t="shared" si="2"/>
        <v>28.315946348733235</v>
      </c>
      <c r="V17" s="885">
        <f t="shared" si="3"/>
        <v>0.20119225037257826</v>
      </c>
      <c r="W17" s="894">
        <f t="shared" si="7"/>
        <v>2.7</v>
      </c>
      <c r="X17" s="894"/>
      <c r="Y17" s="885">
        <f t="shared" si="4"/>
        <v>16.095380029806261</v>
      </c>
      <c r="Z17" s="224">
        <f t="shared" si="8"/>
        <v>29.376000000000005</v>
      </c>
      <c r="AA17" s="224"/>
      <c r="AB17" s="224"/>
      <c r="AC17" s="1"/>
      <c r="AD17" s="202">
        <f t="shared" si="5"/>
        <v>44.411326378539499</v>
      </c>
      <c r="AE17" s="295">
        <f t="shared" si="9"/>
        <v>343.26821117283117</v>
      </c>
      <c r="AF17" s="892">
        <f t="shared" si="6"/>
        <v>44.411326378539499</v>
      </c>
    </row>
    <row r="18" spans="1:32" ht="13.5" thickBot="1" x14ac:dyDescent="0.25">
      <c r="A18" s="893">
        <v>7</v>
      </c>
      <c r="B18" s="12" t="s">
        <v>330</v>
      </c>
      <c r="C18" s="1"/>
      <c r="D18" s="1">
        <v>-10</v>
      </c>
      <c r="E18" s="85" t="s">
        <v>1403</v>
      </c>
      <c r="F18" s="1" t="s">
        <v>1410</v>
      </c>
      <c r="G18" s="85" t="s">
        <v>308</v>
      </c>
      <c r="H18" s="885">
        <f>I18/324</f>
        <v>1</v>
      </c>
      <c r="I18" s="1">
        <v>324</v>
      </c>
      <c r="J18" s="44"/>
      <c r="K18" s="886">
        <f t="shared" si="1"/>
        <v>0.24691358024691357</v>
      </c>
      <c r="L18" s="1">
        <v>80</v>
      </c>
      <c r="M18" s="885">
        <f>K18*13.42</f>
        <v>3.3135802469135802</v>
      </c>
      <c r="N18" s="885">
        <v>10</v>
      </c>
      <c r="O18" s="1">
        <v>1.36</v>
      </c>
      <c r="P18" s="1"/>
      <c r="Q18" s="385" t="s">
        <v>234</v>
      </c>
      <c r="R18" s="226">
        <f t="shared" si="0"/>
        <v>11.177347242921014</v>
      </c>
      <c r="S18" s="251">
        <v>150</v>
      </c>
      <c r="T18" s="202">
        <f>'PRECIOS INSUMOS 2015'!C$5</f>
        <v>2</v>
      </c>
      <c r="U18" s="202">
        <f t="shared" si="2"/>
        <v>22.354694485842028</v>
      </c>
      <c r="V18" s="885">
        <f t="shared" si="3"/>
        <v>0.30178837555886734</v>
      </c>
      <c r="W18" s="894">
        <f t="shared" si="7"/>
        <v>4.05</v>
      </c>
      <c r="X18" s="894"/>
      <c r="Y18" s="885">
        <f t="shared" si="4"/>
        <v>24.143070044709386</v>
      </c>
      <c r="Z18" s="224">
        <f t="shared" si="8"/>
        <v>44.064</v>
      </c>
      <c r="AA18" s="224"/>
      <c r="AB18" s="224"/>
      <c r="AC18" s="1"/>
      <c r="AD18" s="202">
        <f t="shared" si="5"/>
        <v>46.497764530551414</v>
      </c>
      <c r="AE18" s="295">
        <f t="shared" si="9"/>
        <v>389.76597570338259</v>
      </c>
      <c r="AF18" s="892">
        <f t="shared" si="6"/>
        <v>46.497764530551414</v>
      </c>
    </row>
    <row r="19" spans="1:32" ht="13.5" thickBot="1" x14ac:dyDescent="0.25">
      <c r="A19" s="893">
        <v>8</v>
      </c>
      <c r="B19" s="12" t="s">
        <v>1411</v>
      </c>
      <c r="C19" s="1"/>
      <c r="D19" s="1">
        <v>-7</v>
      </c>
      <c r="E19" s="1" t="s">
        <v>1403</v>
      </c>
      <c r="F19" s="1" t="s">
        <v>432</v>
      </c>
      <c r="G19" s="1" t="s">
        <v>437</v>
      </c>
      <c r="H19" s="226">
        <f>18/13.42</f>
        <v>1.3412816691505216</v>
      </c>
      <c r="I19" s="1">
        <v>18</v>
      </c>
      <c r="J19" s="1"/>
      <c r="K19" s="100">
        <v>18</v>
      </c>
      <c r="L19" s="1">
        <v>18</v>
      </c>
      <c r="M19" s="895">
        <f>K19/13.42</f>
        <v>1.3412816691505216</v>
      </c>
      <c r="N19" s="885">
        <v>10</v>
      </c>
      <c r="O19" s="1">
        <v>1.36</v>
      </c>
      <c r="P19" s="1"/>
      <c r="Q19" s="385"/>
      <c r="R19" s="226">
        <f t="shared" si="0"/>
        <v>0</v>
      </c>
      <c r="S19" s="251"/>
      <c r="T19" s="18"/>
      <c r="U19" s="202">
        <f t="shared" si="2"/>
        <v>0</v>
      </c>
      <c r="V19" s="885">
        <f t="shared" si="3"/>
        <v>1</v>
      </c>
      <c r="W19" s="894">
        <f t="shared" si="7"/>
        <v>1</v>
      </c>
      <c r="X19" s="894"/>
      <c r="Y19" s="885">
        <f t="shared" si="4"/>
        <v>80</v>
      </c>
      <c r="Z19" s="224">
        <f t="shared" si="8"/>
        <v>10.88</v>
      </c>
      <c r="AA19" s="224"/>
      <c r="AB19" s="1"/>
      <c r="AC19" s="1"/>
      <c r="AD19" s="202">
        <f t="shared" si="5"/>
        <v>80</v>
      </c>
      <c r="AE19" s="295">
        <f t="shared" si="9"/>
        <v>469.76597570338259</v>
      </c>
      <c r="AF19" s="892">
        <f t="shared" si="6"/>
        <v>80</v>
      </c>
    </row>
    <row r="20" spans="1:32" ht="13.5" thickBot="1" x14ac:dyDescent="0.25">
      <c r="A20" s="893">
        <v>9</v>
      </c>
      <c r="B20" s="12" t="s">
        <v>1412</v>
      </c>
      <c r="C20" s="1"/>
      <c r="D20" s="1">
        <v>-7</v>
      </c>
      <c r="E20" s="1"/>
      <c r="F20" s="1"/>
      <c r="G20" s="1" t="s">
        <v>437</v>
      </c>
      <c r="H20" s="226">
        <f>18/13.42</f>
        <v>1.3412816691505216</v>
      </c>
      <c r="I20" s="1">
        <v>18</v>
      </c>
      <c r="J20" s="1"/>
      <c r="K20" s="100">
        <v>4.5</v>
      </c>
      <c r="L20" s="1">
        <f>L19/4</f>
        <v>4.5</v>
      </c>
      <c r="M20" s="895">
        <v>1.34</v>
      </c>
      <c r="N20" s="885">
        <v>10</v>
      </c>
      <c r="O20" s="1"/>
      <c r="P20" s="1">
        <v>1.7</v>
      </c>
      <c r="Q20" s="385"/>
      <c r="R20" s="226">
        <f t="shared" si="0"/>
        <v>0</v>
      </c>
      <c r="S20" s="251"/>
      <c r="T20" s="841"/>
      <c r="U20" s="202">
        <f t="shared" si="2"/>
        <v>0</v>
      </c>
      <c r="V20" s="885">
        <f t="shared" si="3"/>
        <v>1.0009564695153146</v>
      </c>
      <c r="W20" s="894"/>
      <c r="X20" s="894">
        <f>I20/L20</f>
        <v>4</v>
      </c>
      <c r="Y20" s="885">
        <f t="shared" si="4"/>
        <v>80.07651756122516</v>
      </c>
      <c r="Z20" s="224"/>
      <c r="AA20" s="224">
        <f>X20*P20*8</f>
        <v>54.4</v>
      </c>
      <c r="AB20" s="1"/>
      <c r="AC20" s="1"/>
      <c r="AD20" s="202">
        <f t="shared" si="5"/>
        <v>80.07651756122516</v>
      </c>
      <c r="AE20" s="295">
        <f t="shared" si="9"/>
        <v>549.84249326460781</v>
      </c>
      <c r="AF20" s="892">
        <f t="shared" si="6"/>
        <v>80.07651756122516</v>
      </c>
    </row>
    <row r="21" spans="1:32" ht="13.5" thickBot="1" x14ac:dyDescent="0.25">
      <c r="A21" s="893">
        <v>10</v>
      </c>
      <c r="B21" s="12" t="s">
        <v>1413</v>
      </c>
      <c r="C21" s="1"/>
      <c r="D21" s="1">
        <v>-7</v>
      </c>
      <c r="E21" s="85" t="s">
        <v>1403</v>
      </c>
      <c r="F21" s="1" t="s">
        <v>1414</v>
      </c>
      <c r="G21" s="85" t="s">
        <v>308</v>
      </c>
      <c r="H21" s="885">
        <f>I21/324</f>
        <v>1</v>
      </c>
      <c r="I21" s="1">
        <v>324</v>
      </c>
      <c r="J21" s="44"/>
      <c r="K21" s="886">
        <f>L21/324</f>
        <v>0.5</v>
      </c>
      <c r="L21" s="1">
        <v>162</v>
      </c>
      <c r="M21" s="885">
        <f>K21*13.42</f>
        <v>6.71</v>
      </c>
      <c r="N21" s="885">
        <v>10</v>
      </c>
      <c r="O21" s="1">
        <v>1.36</v>
      </c>
      <c r="P21" s="1"/>
      <c r="Q21" s="385" t="s">
        <v>234</v>
      </c>
      <c r="R21" s="226">
        <f t="shared" si="0"/>
        <v>5.5886736214605071</v>
      </c>
      <c r="S21" s="251">
        <v>75</v>
      </c>
      <c r="T21" s="202">
        <f>'PRECIOS INSUMOS 2015'!C$5</f>
        <v>2</v>
      </c>
      <c r="U21" s="202">
        <f t="shared" si="2"/>
        <v>11.177347242921014</v>
      </c>
      <c r="V21" s="885">
        <f t="shared" si="3"/>
        <v>0.14903129657228018</v>
      </c>
      <c r="W21" s="894">
        <f t="shared" si="7"/>
        <v>2</v>
      </c>
      <c r="X21" s="894"/>
      <c r="Y21" s="885">
        <f t="shared" si="4"/>
        <v>11.922503725782414</v>
      </c>
      <c r="Z21" s="224">
        <f t="shared" si="8"/>
        <v>21.76</v>
      </c>
      <c r="AA21" s="224"/>
      <c r="AB21" s="1"/>
      <c r="AC21" s="1"/>
      <c r="AD21" s="202">
        <f t="shared" si="5"/>
        <v>23.099850968703429</v>
      </c>
      <c r="AE21" s="295">
        <f t="shared" si="9"/>
        <v>572.94234423331125</v>
      </c>
      <c r="AF21" s="892">
        <f t="shared" si="6"/>
        <v>23.099850968703429</v>
      </c>
    </row>
    <row r="22" spans="1:32" ht="13.5" thickBot="1" x14ac:dyDescent="0.25">
      <c r="A22" s="893">
        <v>11</v>
      </c>
      <c r="B22" s="12" t="s">
        <v>1415</v>
      </c>
      <c r="C22" s="1"/>
      <c r="D22" s="1">
        <v>-7</v>
      </c>
      <c r="E22" s="1"/>
      <c r="F22" s="1"/>
      <c r="G22" s="85" t="s">
        <v>308</v>
      </c>
      <c r="H22" s="885">
        <f>I22/324</f>
        <v>1</v>
      </c>
      <c r="I22" s="1">
        <v>324</v>
      </c>
      <c r="J22" s="44"/>
      <c r="K22" s="886">
        <f>L22/324</f>
        <v>0.125</v>
      </c>
      <c r="L22" s="1">
        <v>40.5</v>
      </c>
      <c r="M22" s="885">
        <f>K22*13.42</f>
        <v>1.6775</v>
      </c>
      <c r="N22" s="885">
        <v>10</v>
      </c>
      <c r="O22" s="1"/>
      <c r="P22" s="1">
        <v>1.7</v>
      </c>
      <c r="Q22" s="385" t="s">
        <v>633</v>
      </c>
      <c r="R22" s="226">
        <f t="shared" si="0"/>
        <v>1.3412816691505216</v>
      </c>
      <c r="S22" s="251">
        <v>18</v>
      </c>
      <c r="T22" s="18">
        <f>'PRECIOS INSUMOS 2015'!E162</f>
        <v>2950</v>
      </c>
      <c r="U22" s="202">
        <f t="shared" si="2"/>
        <v>3956.7809239940389</v>
      </c>
      <c r="V22" s="885">
        <f t="shared" si="3"/>
        <v>0.5961251862891207</v>
      </c>
      <c r="W22" s="894"/>
      <c r="X22" s="894">
        <f>I22/L22</f>
        <v>8</v>
      </c>
      <c r="Y22" s="885">
        <f t="shared" si="4"/>
        <v>47.690014903129658</v>
      </c>
      <c r="Z22" s="224"/>
      <c r="AA22" s="224">
        <f>X22*P22*8</f>
        <v>108.8</v>
      </c>
      <c r="AB22" s="1"/>
      <c r="AC22" s="1"/>
      <c r="AD22" s="202">
        <f t="shared" si="5"/>
        <v>4004.4709388971687</v>
      </c>
      <c r="AE22" s="295">
        <f t="shared" si="9"/>
        <v>4577.4132831304796</v>
      </c>
      <c r="AF22" s="892">
        <f t="shared" si="6"/>
        <v>4004.4709388971687</v>
      </c>
    </row>
    <row r="23" spans="1:32" ht="13.5" thickBot="1" x14ac:dyDescent="0.25">
      <c r="A23" s="893">
        <v>12</v>
      </c>
      <c r="B23" s="12" t="s">
        <v>1416</v>
      </c>
      <c r="C23" s="1"/>
      <c r="D23" s="1">
        <v>-5</v>
      </c>
      <c r="E23" s="85" t="s">
        <v>1403</v>
      </c>
      <c r="F23" s="1" t="s">
        <v>1417</v>
      </c>
      <c r="G23" s="85" t="s">
        <v>308</v>
      </c>
      <c r="H23" s="885">
        <f>I23/324</f>
        <v>1</v>
      </c>
      <c r="I23" s="1">
        <v>324</v>
      </c>
      <c r="J23" s="44"/>
      <c r="K23" s="886">
        <f>L23/324</f>
        <v>1</v>
      </c>
      <c r="L23" s="1">
        <v>324</v>
      </c>
      <c r="M23" s="885">
        <f>K23*13.42</f>
        <v>13.42</v>
      </c>
      <c r="N23" s="885">
        <v>10</v>
      </c>
      <c r="O23" s="1">
        <v>1.36</v>
      </c>
      <c r="P23" s="1"/>
      <c r="Q23" s="385" t="s">
        <v>234</v>
      </c>
      <c r="R23" s="226">
        <f t="shared" si="0"/>
        <v>7.4515648286140088</v>
      </c>
      <c r="S23" s="251">
        <v>100</v>
      </c>
      <c r="T23" s="202">
        <f>'PRECIOS INSUMOS 2015'!C$5</f>
        <v>2</v>
      </c>
      <c r="U23" s="202">
        <f t="shared" si="2"/>
        <v>14.903129657228018</v>
      </c>
      <c r="V23" s="885">
        <f t="shared" si="3"/>
        <v>7.4515648286140088E-2</v>
      </c>
      <c r="W23" s="894">
        <f>I23/L23</f>
        <v>1</v>
      </c>
      <c r="X23" s="894"/>
      <c r="Y23" s="885">
        <f t="shared" si="4"/>
        <v>5.9612518628912072</v>
      </c>
      <c r="Z23" s="224">
        <f t="shared" si="8"/>
        <v>10.88</v>
      </c>
      <c r="AA23" s="224"/>
      <c r="AB23" s="1"/>
      <c r="AC23" s="1"/>
      <c r="AD23" s="202">
        <f t="shared" si="5"/>
        <v>20.864381520119224</v>
      </c>
      <c r="AE23" s="295">
        <f t="shared" si="9"/>
        <v>4598.277664650599</v>
      </c>
      <c r="AF23" s="892">
        <f t="shared" si="6"/>
        <v>20.864381520119224</v>
      </c>
    </row>
    <row r="24" spans="1:32" ht="13.5" thickBot="1" x14ac:dyDescent="0.25">
      <c r="A24" s="893">
        <v>13</v>
      </c>
      <c r="B24" s="12" t="s">
        <v>1418</v>
      </c>
      <c r="C24" s="1"/>
      <c r="D24" s="1">
        <v>-3</v>
      </c>
      <c r="E24" s="1" t="s">
        <v>1419</v>
      </c>
      <c r="F24" s="1" t="s">
        <v>1420</v>
      </c>
      <c r="G24" s="85" t="s">
        <v>308</v>
      </c>
      <c r="H24" s="885">
        <f>I24/324</f>
        <v>1</v>
      </c>
      <c r="I24" s="1">
        <v>324</v>
      </c>
      <c r="J24" s="44"/>
      <c r="K24" s="886">
        <f>L24/324</f>
        <v>0.39814814814814814</v>
      </c>
      <c r="L24" s="1">
        <v>129</v>
      </c>
      <c r="M24" s="885">
        <f>K24*13.42</f>
        <v>5.3431481481481482</v>
      </c>
      <c r="N24" s="885">
        <v>10</v>
      </c>
      <c r="O24" s="1">
        <v>1.7</v>
      </c>
      <c r="P24" s="1"/>
      <c r="Q24" s="385" t="s">
        <v>283</v>
      </c>
      <c r="R24" s="226">
        <v>0.35</v>
      </c>
      <c r="S24" s="251">
        <v>4026</v>
      </c>
      <c r="T24" s="18">
        <v>18</v>
      </c>
      <c r="U24" s="202">
        <f t="shared" si="2"/>
        <v>6.3</v>
      </c>
      <c r="V24" s="885">
        <f t="shared" si="3"/>
        <v>0.18715558174193325</v>
      </c>
      <c r="W24" s="224">
        <f>I24/L24</f>
        <v>2.5116279069767442</v>
      </c>
      <c r="X24" s="894"/>
      <c r="Y24" s="885">
        <f t="shared" si="4"/>
        <v>14.97244653935466</v>
      </c>
      <c r="Z24" s="224">
        <f t="shared" si="8"/>
        <v>34.158139534883723</v>
      </c>
      <c r="AA24" s="224"/>
      <c r="AB24" s="1">
        <v>242.9</v>
      </c>
      <c r="AC24" s="1"/>
      <c r="AD24" s="202">
        <f t="shared" si="5"/>
        <v>21.272446539354661</v>
      </c>
      <c r="AE24" s="295">
        <f t="shared" si="9"/>
        <v>4619.5501111899539</v>
      </c>
      <c r="AF24" s="892">
        <f t="shared" si="6"/>
        <v>21.272446539354661</v>
      </c>
    </row>
    <row r="25" spans="1:32" ht="13.5" thickBot="1" x14ac:dyDescent="0.25">
      <c r="A25" s="893">
        <v>14</v>
      </c>
      <c r="B25" s="12" t="s">
        <v>1421</v>
      </c>
      <c r="C25" s="1"/>
      <c r="D25" s="1">
        <v>-1</v>
      </c>
      <c r="E25" s="85" t="s">
        <v>1403</v>
      </c>
      <c r="F25" s="1" t="s">
        <v>1422</v>
      </c>
      <c r="G25" s="85" t="s">
        <v>308</v>
      </c>
      <c r="H25" s="885">
        <f>I25/324</f>
        <v>1</v>
      </c>
      <c r="I25" s="1">
        <v>324</v>
      </c>
      <c r="J25" s="44"/>
      <c r="K25" s="886">
        <f>L25/324</f>
        <v>0.25</v>
      </c>
      <c r="L25" s="1">
        <v>81</v>
      </c>
      <c r="M25" s="885">
        <f>K25*13.42</f>
        <v>3.355</v>
      </c>
      <c r="N25" s="885">
        <v>10</v>
      </c>
      <c r="O25" s="1">
        <v>1.36</v>
      </c>
      <c r="P25" s="1"/>
      <c r="Q25" s="385" t="s">
        <v>234</v>
      </c>
      <c r="R25" s="226">
        <f t="shared" si="0"/>
        <v>7.4515648286140088</v>
      </c>
      <c r="S25" s="251">
        <v>100</v>
      </c>
      <c r="T25" s="57">
        <f>'PRECIOS INSUMOS 2015'!C$5</f>
        <v>2</v>
      </c>
      <c r="U25" s="202">
        <f t="shared" si="2"/>
        <v>14.903129657228018</v>
      </c>
      <c r="V25" s="885">
        <f t="shared" si="3"/>
        <v>0.29806259314456035</v>
      </c>
      <c r="W25" s="894">
        <f>I25/L25</f>
        <v>4</v>
      </c>
      <c r="X25" s="894"/>
      <c r="Y25" s="885">
        <f t="shared" si="4"/>
        <v>23.845007451564829</v>
      </c>
      <c r="Z25" s="224">
        <f t="shared" si="8"/>
        <v>43.52</v>
      </c>
      <c r="AA25" s="224"/>
      <c r="AB25" s="1"/>
      <c r="AC25" s="1"/>
      <c r="AD25" s="202">
        <f t="shared" si="5"/>
        <v>38.748137108792847</v>
      </c>
      <c r="AE25" s="295">
        <f t="shared" si="9"/>
        <v>4658.2982482987463</v>
      </c>
      <c r="AF25" s="892">
        <f t="shared" si="6"/>
        <v>38.748137108792847</v>
      </c>
    </row>
    <row r="26" spans="1:32" ht="13.5" thickBot="1" x14ac:dyDescent="0.25">
      <c r="A26" s="893">
        <v>15</v>
      </c>
      <c r="B26" s="12" t="s">
        <v>1423</v>
      </c>
      <c r="C26" s="1"/>
      <c r="D26" s="1">
        <v>-1</v>
      </c>
      <c r="E26" s="1" t="s">
        <v>266</v>
      </c>
      <c r="F26" s="1" t="s">
        <v>266</v>
      </c>
      <c r="G26" s="1" t="s">
        <v>437</v>
      </c>
      <c r="H26" s="226">
        <f>17.5/13.42</f>
        <v>1.3040238450074515</v>
      </c>
      <c r="I26" s="1">
        <v>380</v>
      </c>
      <c r="J26" s="1"/>
      <c r="K26" s="896">
        <f>L26/21.74</f>
        <v>0.91996320147194122</v>
      </c>
      <c r="L26" s="1">
        <v>20</v>
      </c>
      <c r="M26" s="895">
        <v>0.65</v>
      </c>
      <c r="N26" s="885">
        <v>10</v>
      </c>
      <c r="O26" s="1"/>
      <c r="P26" s="1">
        <v>1.7</v>
      </c>
      <c r="Q26" s="385"/>
      <c r="R26" s="226">
        <f t="shared" si="0"/>
        <v>0</v>
      </c>
      <c r="S26" s="251"/>
      <c r="T26" s="841"/>
      <c r="U26" s="202">
        <f t="shared" si="2"/>
        <v>0</v>
      </c>
      <c r="V26" s="885">
        <f t="shared" si="3"/>
        <v>2.0061905307806946</v>
      </c>
      <c r="W26" s="894"/>
      <c r="X26" s="894">
        <f>I26/L26</f>
        <v>19</v>
      </c>
      <c r="Y26" s="885">
        <f t="shared" si="4"/>
        <v>160.49524246245556</v>
      </c>
      <c r="Z26" s="224"/>
      <c r="AA26" s="224">
        <f>X26*P26*8</f>
        <v>258.39999999999998</v>
      </c>
      <c r="AB26" s="1"/>
      <c r="AC26" s="1"/>
      <c r="AD26" s="202">
        <f t="shared" si="5"/>
        <v>160.49524246245556</v>
      </c>
      <c r="AE26" s="295">
        <f t="shared" si="9"/>
        <v>4818.7934907612016</v>
      </c>
      <c r="AF26" s="892">
        <f t="shared" si="6"/>
        <v>160.49524246245556</v>
      </c>
    </row>
    <row r="27" spans="1:32" ht="13.5" thickBot="1" x14ac:dyDescent="0.25">
      <c r="A27" s="893">
        <v>16</v>
      </c>
      <c r="B27" s="12" t="s">
        <v>1424</v>
      </c>
      <c r="C27" s="1"/>
      <c r="D27" s="1">
        <v>-1</v>
      </c>
      <c r="E27" s="85" t="s">
        <v>1403</v>
      </c>
      <c r="F27" s="1" t="s">
        <v>432</v>
      </c>
      <c r="G27" s="1" t="s">
        <v>437</v>
      </c>
      <c r="H27" s="226">
        <f>34.96/13.42</f>
        <v>2.6050670640834577</v>
      </c>
      <c r="I27" s="1">
        <v>760</v>
      </c>
      <c r="J27" s="1"/>
      <c r="K27" s="896">
        <f>L27/21.74</f>
        <v>13.799448022079117</v>
      </c>
      <c r="L27" s="1">
        <v>300</v>
      </c>
      <c r="M27" s="895">
        <v>2.61</v>
      </c>
      <c r="N27" s="885">
        <v>10</v>
      </c>
      <c r="O27" s="1">
        <v>1.36</v>
      </c>
      <c r="P27" s="1"/>
      <c r="Q27" s="385" t="s">
        <v>234</v>
      </c>
      <c r="R27" s="226">
        <f t="shared" si="0"/>
        <v>2.0864381520119224</v>
      </c>
      <c r="S27" s="251">
        <v>28</v>
      </c>
      <c r="T27" s="202">
        <f>'PRECIOS INSUMOS 2015'!C$5</f>
        <v>2</v>
      </c>
      <c r="U27" s="202">
        <f t="shared" si="2"/>
        <v>4.1728763040238448</v>
      </c>
      <c r="V27" s="885">
        <f t="shared" si="3"/>
        <v>0.9981099862388727</v>
      </c>
      <c r="W27" s="894">
        <f>I27/L27</f>
        <v>2.5333333333333332</v>
      </c>
      <c r="X27" s="894"/>
      <c r="Y27" s="885">
        <f t="shared" si="4"/>
        <v>79.848798899109823</v>
      </c>
      <c r="Z27" s="224">
        <f t="shared" si="8"/>
        <v>27.562666666666669</v>
      </c>
      <c r="AA27" s="224"/>
      <c r="AB27" s="1"/>
      <c r="AC27" s="1"/>
      <c r="AD27" s="202">
        <f t="shared" si="5"/>
        <v>84.021675203133668</v>
      </c>
      <c r="AE27" s="295">
        <f t="shared" si="9"/>
        <v>4902.8151659643354</v>
      </c>
      <c r="AF27" s="892">
        <f t="shared" si="6"/>
        <v>84.021675203133668</v>
      </c>
    </row>
    <row r="28" spans="1:32" ht="13.5" thickBot="1" x14ac:dyDescent="0.25">
      <c r="A28" s="893">
        <v>17</v>
      </c>
      <c r="B28" s="12" t="s">
        <v>1425</v>
      </c>
      <c r="C28" s="1"/>
      <c r="D28" s="1">
        <v>-1</v>
      </c>
      <c r="E28" s="1"/>
      <c r="F28" s="1"/>
      <c r="G28" s="1" t="s">
        <v>437</v>
      </c>
      <c r="H28" s="226">
        <f>34.96/13.42</f>
        <v>2.6050670640834577</v>
      </c>
      <c r="I28" s="1">
        <v>760</v>
      </c>
      <c r="J28" s="1"/>
      <c r="K28" s="896">
        <f>L28/21.74</f>
        <v>3.4498620055197793</v>
      </c>
      <c r="L28" s="1">
        <v>75</v>
      </c>
      <c r="M28" s="895">
        <v>2.61</v>
      </c>
      <c r="N28" s="885">
        <v>10</v>
      </c>
      <c r="O28" s="1"/>
      <c r="P28" s="1">
        <v>1.7</v>
      </c>
      <c r="Q28" s="385" t="s">
        <v>214</v>
      </c>
      <c r="R28" s="226">
        <v>2.61</v>
      </c>
      <c r="S28" s="251">
        <v>760</v>
      </c>
      <c r="T28" s="841">
        <f>'PRECIOS INSUMOS 2015'!E584</f>
        <v>2300</v>
      </c>
      <c r="U28" s="202">
        <f t="shared" si="2"/>
        <v>6003</v>
      </c>
      <c r="V28" s="885">
        <f t="shared" si="3"/>
        <v>0.9981099862388727</v>
      </c>
      <c r="W28" s="894"/>
      <c r="X28" s="224">
        <f>I28/L28</f>
        <v>10.133333333333333</v>
      </c>
      <c r="Y28" s="885">
        <f t="shared" si="4"/>
        <v>79.848798899109823</v>
      </c>
      <c r="Z28" s="224"/>
      <c r="AA28" s="224">
        <f>X28*P28*8</f>
        <v>137.81333333333333</v>
      </c>
      <c r="AB28" s="1"/>
      <c r="AC28" s="1"/>
      <c r="AD28" s="202">
        <f t="shared" si="5"/>
        <v>6082.8487988991101</v>
      </c>
      <c r="AE28" s="295">
        <f t="shared" si="9"/>
        <v>10985.663964863445</v>
      </c>
      <c r="AF28" s="892">
        <f t="shared" si="6"/>
        <v>6082.8487988991101</v>
      </c>
    </row>
    <row r="29" spans="1:32" ht="13.5" thickBot="1" x14ac:dyDescent="0.25">
      <c r="A29" s="893">
        <v>18</v>
      </c>
      <c r="B29" s="12" t="s">
        <v>302</v>
      </c>
      <c r="C29" s="1"/>
      <c r="D29" s="1">
        <v>1</v>
      </c>
      <c r="E29" s="85" t="s">
        <v>1403</v>
      </c>
      <c r="F29" s="1" t="s">
        <v>1426</v>
      </c>
      <c r="G29" s="85" t="s">
        <v>308</v>
      </c>
      <c r="H29" s="885">
        <f t="shared" ref="H29:H51" si="10">I29/324</f>
        <v>1</v>
      </c>
      <c r="I29" s="1">
        <v>324</v>
      </c>
      <c r="J29" s="44"/>
      <c r="K29" s="886">
        <f t="shared" ref="K29:K51" si="11">L29/324</f>
        <v>0.14814814814814814</v>
      </c>
      <c r="L29" s="1">
        <v>48</v>
      </c>
      <c r="M29" s="885">
        <f t="shared" ref="M29:M51" si="12">K29*13.42</f>
        <v>1.988148148148148</v>
      </c>
      <c r="N29" s="885">
        <v>10</v>
      </c>
      <c r="O29" s="1">
        <v>1.36</v>
      </c>
      <c r="P29" s="1"/>
      <c r="Q29" s="385" t="s">
        <v>234</v>
      </c>
      <c r="R29" s="226">
        <f t="shared" si="0"/>
        <v>6.7064083457526085</v>
      </c>
      <c r="S29" s="251">
        <v>90</v>
      </c>
      <c r="T29" s="202">
        <f>'PRECIOS INSUMOS 2015'!C$5</f>
        <v>2</v>
      </c>
      <c r="U29" s="202">
        <f t="shared" si="2"/>
        <v>13.412816691505217</v>
      </c>
      <c r="V29" s="885">
        <f t="shared" si="3"/>
        <v>0.50298062593144566</v>
      </c>
      <c r="W29" s="894">
        <f>I29/L29</f>
        <v>6.75</v>
      </c>
      <c r="X29" s="894"/>
      <c r="Y29" s="885">
        <f t="shared" si="4"/>
        <v>40.238450074515654</v>
      </c>
      <c r="Z29" s="224">
        <f t="shared" si="8"/>
        <v>73.440000000000012</v>
      </c>
      <c r="AA29" s="224"/>
      <c r="AB29" s="1"/>
      <c r="AC29" s="1"/>
      <c r="AD29" s="202">
        <f t="shared" si="5"/>
        <v>53.651266766020868</v>
      </c>
      <c r="AE29" s="295">
        <f t="shared" si="9"/>
        <v>11039.315231629465</v>
      </c>
      <c r="AF29" s="892">
        <f t="shared" si="6"/>
        <v>53.651266766020868</v>
      </c>
    </row>
    <row r="30" spans="1:32" ht="13.5" thickBot="1" x14ac:dyDescent="0.25">
      <c r="A30" s="893">
        <v>19</v>
      </c>
      <c r="B30" s="12" t="s">
        <v>1427</v>
      </c>
      <c r="C30" s="1"/>
      <c r="D30" s="1">
        <v>1</v>
      </c>
      <c r="E30" s="1"/>
      <c r="F30" s="1"/>
      <c r="G30" s="85" t="s">
        <v>308</v>
      </c>
      <c r="H30" s="885">
        <f t="shared" si="10"/>
        <v>1</v>
      </c>
      <c r="I30" s="1">
        <v>324</v>
      </c>
      <c r="J30" s="44"/>
      <c r="K30" s="886">
        <f t="shared" si="11"/>
        <v>0.14814814814814814</v>
      </c>
      <c r="L30" s="1">
        <v>48</v>
      </c>
      <c r="M30" s="885">
        <f t="shared" si="12"/>
        <v>1.988148148148148</v>
      </c>
      <c r="N30" s="885">
        <v>10</v>
      </c>
      <c r="O30" s="1"/>
      <c r="P30" s="1">
        <v>1.7</v>
      </c>
      <c r="Q30" s="385"/>
      <c r="R30" s="226">
        <f t="shared" si="0"/>
        <v>0</v>
      </c>
      <c r="S30" s="251"/>
      <c r="T30" s="18"/>
      <c r="U30" s="202">
        <f t="shared" si="2"/>
        <v>0</v>
      </c>
      <c r="V30" s="885">
        <f t="shared" si="3"/>
        <v>0.50298062593144566</v>
      </c>
      <c r="W30" s="894"/>
      <c r="X30" s="894">
        <f>I30/L30*4</f>
        <v>27</v>
      </c>
      <c r="Y30" s="885">
        <f t="shared" si="4"/>
        <v>40.238450074515654</v>
      </c>
      <c r="Z30" s="224"/>
      <c r="AA30" s="224">
        <f>X30*P30*8</f>
        <v>367.2</v>
      </c>
      <c r="AB30" s="1"/>
      <c r="AC30" s="1"/>
      <c r="AD30" s="202">
        <f t="shared" si="5"/>
        <v>40.238450074515654</v>
      </c>
      <c r="AE30" s="295">
        <f t="shared" si="9"/>
        <v>11079.553681703981</v>
      </c>
      <c r="AF30" s="892">
        <f t="shared" si="6"/>
        <v>40.238450074515654</v>
      </c>
    </row>
    <row r="31" spans="1:32" ht="13.5" thickBot="1" x14ac:dyDescent="0.25">
      <c r="A31" s="893">
        <v>20</v>
      </c>
      <c r="B31" s="12" t="s">
        <v>1428</v>
      </c>
      <c r="C31" s="1"/>
      <c r="D31" s="1">
        <v>1</v>
      </c>
      <c r="E31" s="85" t="s">
        <v>1403</v>
      </c>
      <c r="F31" s="1" t="s">
        <v>1429</v>
      </c>
      <c r="G31" s="85" t="s">
        <v>308</v>
      </c>
      <c r="H31" s="885">
        <f t="shared" si="10"/>
        <v>1</v>
      </c>
      <c r="I31" s="1">
        <v>324</v>
      </c>
      <c r="J31" s="44"/>
      <c r="K31" s="886">
        <f t="shared" si="11"/>
        <v>0.14814814814814814</v>
      </c>
      <c r="L31" s="1">
        <v>48</v>
      </c>
      <c r="M31" s="885">
        <f t="shared" si="12"/>
        <v>1.988148148148148</v>
      </c>
      <c r="N31" s="885">
        <v>10</v>
      </c>
      <c r="O31" s="1">
        <v>1.36</v>
      </c>
      <c r="P31" s="1"/>
      <c r="Q31" s="385" t="s">
        <v>234</v>
      </c>
      <c r="R31" s="226">
        <f t="shared" si="0"/>
        <v>4.8435171385991058</v>
      </c>
      <c r="S31" s="251">
        <v>65</v>
      </c>
      <c r="T31" s="202">
        <f>'PRECIOS INSUMOS 2015'!C$5</f>
        <v>2</v>
      </c>
      <c r="U31" s="202">
        <f t="shared" si="2"/>
        <v>9.6870342771982116</v>
      </c>
      <c r="V31" s="885">
        <f t="shared" si="3"/>
        <v>0.50298062593144566</v>
      </c>
      <c r="W31" s="224">
        <f>I31/L31</f>
        <v>6.75</v>
      </c>
      <c r="X31" s="894"/>
      <c r="Y31" s="885">
        <f t="shared" si="4"/>
        <v>40.238450074515654</v>
      </c>
      <c r="Z31" s="224">
        <f t="shared" si="8"/>
        <v>73.440000000000012</v>
      </c>
      <c r="AA31" s="224"/>
      <c r="AB31" s="1"/>
      <c r="AC31" s="1"/>
      <c r="AD31" s="202">
        <f t="shared" si="5"/>
        <v>49.925484351713862</v>
      </c>
      <c r="AE31" s="295">
        <f t="shared" si="9"/>
        <v>11129.479166055695</v>
      </c>
      <c r="AF31" s="892">
        <f t="shared" si="6"/>
        <v>49.925484351713862</v>
      </c>
    </row>
    <row r="32" spans="1:32" ht="13.5" thickBot="1" x14ac:dyDescent="0.25">
      <c r="A32" s="893">
        <v>21</v>
      </c>
      <c r="B32" s="12" t="s">
        <v>1430</v>
      </c>
      <c r="C32" s="1"/>
      <c r="D32" s="1">
        <v>1</v>
      </c>
      <c r="E32" s="1"/>
      <c r="F32" s="1"/>
      <c r="G32" s="85" t="s">
        <v>308</v>
      </c>
      <c r="H32" s="885">
        <f t="shared" si="10"/>
        <v>1</v>
      </c>
      <c r="I32" s="1">
        <v>324</v>
      </c>
      <c r="J32" s="44"/>
      <c r="K32" s="886">
        <f t="shared" si="11"/>
        <v>0.14814814814814814</v>
      </c>
      <c r="L32" s="1">
        <v>48</v>
      </c>
      <c r="M32" s="885">
        <f t="shared" si="12"/>
        <v>1.988148148148148</v>
      </c>
      <c r="N32" s="885">
        <v>10</v>
      </c>
      <c r="O32" s="1"/>
      <c r="P32" s="1">
        <v>1.7</v>
      </c>
      <c r="Q32" s="385" t="s">
        <v>973</v>
      </c>
      <c r="R32" s="226">
        <f t="shared" si="0"/>
        <v>0.5</v>
      </c>
      <c r="S32" s="897">
        <f>0.5*13.42</f>
        <v>6.71</v>
      </c>
      <c r="T32" s="898">
        <f>'PRECIOS INSUMOS 2015'!H11</f>
        <v>822</v>
      </c>
      <c r="U32" s="885">
        <f t="shared" si="2"/>
        <v>411</v>
      </c>
      <c r="V32" s="885">
        <f t="shared" si="3"/>
        <v>0.50298062593144566</v>
      </c>
      <c r="W32" s="894"/>
      <c r="X32" s="224">
        <f>I32/L32</f>
        <v>6.75</v>
      </c>
      <c r="Y32" s="885">
        <f t="shared" si="4"/>
        <v>40.238450074515654</v>
      </c>
      <c r="Z32" s="224"/>
      <c r="AA32" s="224">
        <f>X32*P32*8</f>
        <v>91.8</v>
      </c>
      <c r="AB32" s="1"/>
      <c r="AC32" s="1"/>
      <c r="AD32" s="202">
        <f t="shared" si="5"/>
        <v>451.23845007451564</v>
      </c>
      <c r="AE32" s="295">
        <f t="shared" si="9"/>
        <v>11580.71761613021</v>
      </c>
      <c r="AF32" s="892">
        <f t="shared" si="6"/>
        <v>451.23845007451564</v>
      </c>
    </row>
    <row r="33" spans="1:32" ht="13.5" thickBot="1" x14ac:dyDescent="0.25">
      <c r="A33" s="893">
        <v>22</v>
      </c>
      <c r="B33" s="12" t="s">
        <v>1431</v>
      </c>
      <c r="C33" s="1"/>
      <c r="D33" s="1">
        <v>1</v>
      </c>
      <c r="E33" s="85" t="s">
        <v>1403</v>
      </c>
      <c r="F33" s="1" t="s">
        <v>1422</v>
      </c>
      <c r="G33" s="85" t="s">
        <v>308</v>
      </c>
      <c r="H33" s="885">
        <f t="shared" si="10"/>
        <v>1</v>
      </c>
      <c r="I33" s="1">
        <v>324</v>
      </c>
      <c r="J33" s="44"/>
      <c r="K33" s="886">
        <f t="shared" si="11"/>
        <v>0.14814814814814814</v>
      </c>
      <c r="L33" s="1">
        <v>48</v>
      </c>
      <c r="M33" s="885">
        <f t="shared" si="12"/>
        <v>1.988148148148148</v>
      </c>
      <c r="N33" s="885">
        <v>10</v>
      </c>
      <c r="O33" s="1">
        <v>1.36</v>
      </c>
      <c r="P33" s="1"/>
      <c r="Q33" s="385" t="s">
        <v>234</v>
      </c>
      <c r="R33" s="226">
        <f t="shared" si="0"/>
        <v>6.7064083457526085</v>
      </c>
      <c r="S33" s="251">
        <v>90</v>
      </c>
      <c r="T33" s="202">
        <f>'PRECIOS INSUMOS 2015'!C$5</f>
        <v>2</v>
      </c>
      <c r="U33" s="202">
        <f t="shared" si="2"/>
        <v>13.412816691505217</v>
      </c>
      <c r="V33" s="885">
        <f t="shared" si="3"/>
        <v>0.50298062593144566</v>
      </c>
      <c r="W33" s="894">
        <f>I33/L33</f>
        <v>6.75</v>
      </c>
      <c r="X33" s="894"/>
      <c r="Y33" s="885">
        <f t="shared" si="4"/>
        <v>40.238450074515654</v>
      </c>
      <c r="Z33" s="224">
        <f t="shared" si="8"/>
        <v>73.440000000000012</v>
      </c>
      <c r="AA33" s="224"/>
      <c r="AB33" s="1"/>
      <c r="AC33" s="1"/>
      <c r="AD33" s="202">
        <f t="shared" si="5"/>
        <v>53.651266766020868</v>
      </c>
      <c r="AE33" s="295">
        <f t="shared" si="9"/>
        <v>11634.368882896231</v>
      </c>
      <c r="AF33" s="892">
        <f t="shared" si="6"/>
        <v>53.651266766020868</v>
      </c>
    </row>
    <row r="34" spans="1:32" ht="13.5" thickBot="1" x14ac:dyDescent="0.25">
      <c r="A34" s="893">
        <v>23</v>
      </c>
      <c r="B34" s="12" t="s">
        <v>1432</v>
      </c>
      <c r="C34" s="1"/>
      <c r="D34" s="1">
        <v>1</v>
      </c>
      <c r="E34" s="1" t="s">
        <v>266</v>
      </c>
      <c r="F34" s="1" t="s">
        <v>266</v>
      </c>
      <c r="G34" s="85" t="s">
        <v>308</v>
      </c>
      <c r="H34" s="885">
        <f t="shared" si="10"/>
        <v>1</v>
      </c>
      <c r="I34" s="1">
        <v>324</v>
      </c>
      <c r="J34" s="44"/>
      <c r="K34" s="886">
        <f t="shared" si="11"/>
        <v>3.7037037037037035E-2</v>
      </c>
      <c r="L34" s="1">
        <v>12</v>
      </c>
      <c r="M34" s="885">
        <f t="shared" si="12"/>
        <v>0.497037037037037</v>
      </c>
      <c r="N34" s="885">
        <v>10</v>
      </c>
      <c r="O34" s="1"/>
      <c r="P34" s="1">
        <v>1.7</v>
      </c>
      <c r="Q34" s="385"/>
      <c r="R34" s="226">
        <f t="shared" si="0"/>
        <v>0</v>
      </c>
      <c r="S34" s="251"/>
      <c r="T34" s="57"/>
      <c r="U34" s="202">
        <f t="shared" si="2"/>
        <v>0</v>
      </c>
      <c r="V34" s="885">
        <f t="shared" si="3"/>
        <v>2.0119225037257826</v>
      </c>
      <c r="W34" s="894"/>
      <c r="X34" s="894">
        <f>I34/L34</f>
        <v>27</v>
      </c>
      <c r="Y34" s="885">
        <f t="shared" si="4"/>
        <v>160.95380029806262</v>
      </c>
      <c r="Z34" s="224"/>
      <c r="AA34" s="224">
        <f>X34*P34*8</f>
        <v>367.2</v>
      </c>
      <c r="AB34" s="1"/>
      <c r="AC34" s="1"/>
      <c r="AD34" s="202">
        <f t="shared" si="5"/>
        <v>160.95380029806262</v>
      </c>
      <c r="AE34" s="295">
        <f t="shared" si="9"/>
        <v>11795.322683194294</v>
      </c>
      <c r="AF34" s="892">
        <f t="shared" si="6"/>
        <v>160.95380029806262</v>
      </c>
    </row>
    <row r="35" spans="1:32" ht="13.5" thickBot="1" x14ac:dyDescent="0.25">
      <c r="A35" s="893">
        <v>24</v>
      </c>
      <c r="B35" s="12" t="s">
        <v>365</v>
      </c>
      <c r="C35" s="1"/>
      <c r="D35" s="1">
        <v>1</v>
      </c>
      <c r="E35" s="1" t="s">
        <v>1419</v>
      </c>
      <c r="F35" s="1" t="s">
        <v>1420</v>
      </c>
      <c r="G35" s="85" t="s">
        <v>308</v>
      </c>
      <c r="H35" s="885">
        <f t="shared" si="10"/>
        <v>1</v>
      </c>
      <c r="I35" s="1">
        <v>324</v>
      </c>
      <c r="J35" s="44"/>
      <c r="K35" s="886">
        <f t="shared" si="11"/>
        <v>0.39506172839506171</v>
      </c>
      <c r="L35" s="1">
        <v>128</v>
      </c>
      <c r="M35" s="885">
        <f t="shared" si="12"/>
        <v>5.301728395061728</v>
      </c>
      <c r="N35" s="885">
        <v>10</v>
      </c>
      <c r="O35" s="1">
        <v>1.7</v>
      </c>
      <c r="P35" s="1"/>
      <c r="Q35" s="385" t="s">
        <v>283</v>
      </c>
      <c r="R35" s="226">
        <v>0.35</v>
      </c>
      <c r="S35" s="251">
        <v>3355</v>
      </c>
      <c r="T35" s="18">
        <v>18</v>
      </c>
      <c r="U35" s="202">
        <f t="shared" si="2"/>
        <v>6.3</v>
      </c>
      <c r="V35" s="885">
        <f t="shared" si="3"/>
        <v>0.18861773472429211</v>
      </c>
      <c r="W35" s="894">
        <f>I35/L35</f>
        <v>2.53125</v>
      </c>
      <c r="X35" s="894"/>
      <c r="Y35" s="885">
        <f t="shared" si="4"/>
        <v>15.089418777943369</v>
      </c>
      <c r="Z35" s="224">
        <f t="shared" si="8"/>
        <v>34.424999999999997</v>
      </c>
      <c r="AA35" s="224"/>
      <c r="AB35" s="1">
        <v>242.9</v>
      </c>
      <c r="AC35" s="1"/>
      <c r="AD35" s="202">
        <f t="shared" si="5"/>
        <v>21.389418777943369</v>
      </c>
      <c r="AE35" s="295">
        <f t="shared" si="9"/>
        <v>11816.712101972238</v>
      </c>
      <c r="AF35" s="892">
        <f t="shared" si="6"/>
        <v>21.389418777943369</v>
      </c>
    </row>
    <row r="36" spans="1:32" ht="13.5" thickBot="1" x14ac:dyDescent="0.25">
      <c r="A36" s="893">
        <v>25</v>
      </c>
      <c r="B36" s="12" t="s">
        <v>1433</v>
      </c>
      <c r="C36" s="1"/>
      <c r="D36" s="1">
        <v>2</v>
      </c>
      <c r="E36" s="1" t="s">
        <v>266</v>
      </c>
      <c r="F36" s="1" t="s">
        <v>1297</v>
      </c>
      <c r="G36" s="85" t="s">
        <v>308</v>
      </c>
      <c r="H36" s="885">
        <f t="shared" si="10"/>
        <v>1</v>
      </c>
      <c r="I36" s="1">
        <v>324</v>
      </c>
      <c r="J36" s="44"/>
      <c r="K36" s="886">
        <f t="shared" si="11"/>
        <v>3.7037037037037035E-2</v>
      </c>
      <c r="L36" s="1">
        <v>12</v>
      </c>
      <c r="M36" s="885">
        <v>1</v>
      </c>
      <c r="N36" s="885">
        <v>10</v>
      </c>
      <c r="O36" s="1"/>
      <c r="P36" s="1">
        <v>1.7</v>
      </c>
      <c r="Q36" s="385"/>
      <c r="R36" s="226">
        <f t="shared" si="0"/>
        <v>0</v>
      </c>
      <c r="S36" s="251"/>
      <c r="T36" s="933"/>
      <c r="U36" s="202">
        <f t="shared" si="2"/>
        <v>0</v>
      </c>
      <c r="V36" s="885">
        <f t="shared" si="3"/>
        <v>1</v>
      </c>
      <c r="W36" s="894"/>
      <c r="X36" s="894">
        <f>I36/L36</f>
        <v>27</v>
      </c>
      <c r="Y36" s="885">
        <f t="shared" si="4"/>
        <v>80</v>
      </c>
      <c r="Z36" s="224"/>
      <c r="AA36" s="224">
        <f>X36*P36*8</f>
        <v>367.2</v>
      </c>
      <c r="AB36" s="1"/>
      <c r="AC36" s="1"/>
      <c r="AD36" s="202">
        <f t="shared" si="5"/>
        <v>80</v>
      </c>
      <c r="AE36" s="295">
        <f t="shared" si="9"/>
        <v>11896.712101972238</v>
      </c>
      <c r="AF36" s="892">
        <f t="shared" si="6"/>
        <v>80</v>
      </c>
    </row>
    <row r="37" spans="1:32" ht="13.5" thickBot="1" x14ac:dyDescent="0.25">
      <c r="A37" s="893">
        <v>26</v>
      </c>
      <c r="B37" s="12" t="s">
        <v>1434</v>
      </c>
      <c r="C37" s="1"/>
      <c r="D37" s="1">
        <v>2</v>
      </c>
      <c r="E37" s="85" t="s">
        <v>1403</v>
      </c>
      <c r="F37" s="1" t="s">
        <v>1429</v>
      </c>
      <c r="G37" s="85" t="s">
        <v>308</v>
      </c>
      <c r="H37" s="885">
        <f t="shared" si="10"/>
        <v>1</v>
      </c>
      <c r="I37" s="1">
        <v>324</v>
      </c>
      <c r="J37" s="44"/>
      <c r="K37" s="886">
        <f t="shared" si="11"/>
        <v>1</v>
      </c>
      <c r="L37" s="1">
        <v>324</v>
      </c>
      <c r="M37" s="885">
        <f t="shared" si="12"/>
        <v>13.42</v>
      </c>
      <c r="N37" s="885">
        <v>10</v>
      </c>
      <c r="O37" s="1">
        <v>1.36</v>
      </c>
      <c r="P37" s="1"/>
      <c r="Q37" s="385" t="s">
        <v>234</v>
      </c>
      <c r="R37" s="226">
        <f t="shared" si="0"/>
        <v>4.0983606557377046</v>
      </c>
      <c r="S37" s="251">
        <v>55</v>
      </c>
      <c r="T37" s="202">
        <f>'PRECIOS INSUMOS 2015'!C$5</f>
        <v>2</v>
      </c>
      <c r="U37" s="202">
        <f t="shared" si="2"/>
        <v>8.1967213114754092</v>
      </c>
      <c r="V37" s="885">
        <f t="shared" si="3"/>
        <v>7.4515648286140088E-2</v>
      </c>
      <c r="W37" s="894">
        <f>I37/L37</f>
        <v>1</v>
      </c>
      <c r="X37" s="894"/>
      <c r="Y37" s="885">
        <f t="shared" si="4"/>
        <v>5.9612518628912072</v>
      </c>
      <c r="Z37" s="224">
        <f t="shared" si="8"/>
        <v>10.88</v>
      </c>
      <c r="AA37" s="224"/>
      <c r="AB37" s="1"/>
      <c r="AC37" s="1"/>
      <c r="AD37" s="202">
        <f t="shared" si="5"/>
        <v>14.157973174366617</v>
      </c>
      <c r="AE37" s="295">
        <f t="shared" si="9"/>
        <v>11910.870075146604</v>
      </c>
      <c r="AF37" s="892">
        <f t="shared" si="6"/>
        <v>14.157973174366617</v>
      </c>
    </row>
    <row r="38" spans="1:32" ht="13.5" thickBot="1" x14ac:dyDescent="0.25">
      <c r="A38" s="893">
        <v>27</v>
      </c>
      <c r="B38" s="12" t="s">
        <v>1435</v>
      </c>
      <c r="C38" s="1"/>
      <c r="D38" s="1">
        <v>2</v>
      </c>
      <c r="E38" s="1"/>
      <c r="F38" s="1"/>
      <c r="G38" s="85" t="s">
        <v>308</v>
      </c>
      <c r="H38" s="885">
        <f t="shared" si="10"/>
        <v>1</v>
      </c>
      <c r="I38" s="1">
        <v>324</v>
      </c>
      <c r="J38" s="44"/>
      <c r="K38" s="886">
        <f t="shared" si="11"/>
        <v>1</v>
      </c>
      <c r="L38" s="1">
        <v>324</v>
      </c>
      <c r="M38" s="885">
        <f t="shared" si="12"/>
        <v>13.42</v>
      </c>
      <c r="N38" s="885">
        <v>10</v>
      </c>
      <c r="O38" s="1"/>
      <c r="P38" s="1">
        <v>1.7</v>
      </c>
      <c r="Q38" s="385" t="s">
        <v>439</v>
      </c>
      <c r="R38" s="226">
        <f t="shared" si="0"/>
        <v>3</v>
      </c>
      <c r="S38" s="251">
        <f>3*13.42</f>
        <v>40.26</v>
      </c>
      <c r="T38" s="18">
        <f>'PRECIOS INSUMOS 2015'!H$17</f>
        <v>43</v>
      </c>
      <c r="U38" s="202">
        <f t="shared" si="2"/>
        <v>129</v>
      </c>
      <c r="V38" s="885">
        <f t="shared" si="3"/>
        <v>7.4515648286140088E-2</v>
      </c>
      <c r="W38" s="894"/>
      <c r="X38" s="894">
        <f>I38/L38</f>
        <v>1</v>
      </c>
      <c r="Y38" s="885">
        <f t="shared" si="4"/>
        <v>5.9612518628912072</v>
      </c>
      <c r="Z38" s="224"/>
      <c r="AA38" s="224">
        <f>X38*P38*8</f>
        <v>13.6</v>
      </c>
      <c r="AB38" s="1"/>
      <c r="AC38" s="1"/>
      <c r="AD38" s="202">
        <f t="shared" si="5"/>
        <v>134.9612518628912</v>
      </c>
      <c r="AE38" s="295">
        <f t="shared" si="9"/>
        <v>12045.831327009495</v>
      </c>
      <c r="AF38" s="892">
        <f t="shared" si="6"/>
        <v>134.9612518628912</v>
      </c>
    </row>
    <row r="39" spans="1:32" ht="13.5" thickBot="1" x14ac:dyDescent="0.25">
      <c r="A39" s="893">
        <v>28</v>
      </c>
      <c r="B39" s="12" t="s">
        <v>1436</v>
      </c>
      <c r="C39" s="1"/>
      <c r="D39" s="1">
        <v>2</v>
      </c>
      <c r="E39" s="1" t="s">
        <v>266</v>
      </c>
      <c r="F39" s="1"/>
      <c r="G39" s="85" t="s">
        <v>308</v>
      </c>
      <c r="H39" s="885">
        <f t="shared" si="10"/>
        <v>1</v>
      </c>
      <c r="I39" s="1">
        <v>324</v>
      </c>
      <c r="J39" s="44"/>
      <c r="K39" s="886">
        <f t="shared" si="11"/>
        <v>1</v>
      </c>
      <c r="L39" s="1">
        <v>324</v>
      </c>
      <c r="M39" s="885">
        <f t="shared" si="12"/>
        <v>13.42</v>
      </c>
      <c r="N39" s="885">
        <v>10</v>
      </c>
      <c r="O39" s="1"/>
      <c r="P39" s="1">
        <v>1.7</v>
      </c>
      <c r="Q39" s="385" t="s">
        <v>1437</v>
      </c>
      <c r="R39" s="226">
        <f t="shared" si="0"/>
        <v>0.37257824143070045</v>
      </c>
      <c r="S39" s="251">
        <v>5</v>
      </c>
      <c r="T39" s="18">
        <v>4.37</v>
      </c>
      <c r="U39" s="202">
        <f t="shared" si="2"/>
        <v>1.6281669150521609</v>
      </c>
      <c r="V39" s="885">
        <f t="shared" si="3"/>
        <v>7.4515648286140088E-2</v>
      </c>
      <c r="W39" s="894"/>
      <c r="X39" s="894">
        <f>I39/L39</f>
        <v>1</v>
      </c>
      <c r="Y39" s="885">
        <f t="shared" si="4"/>
        <v>5.9612518628912072</v>
      </c>
      <c r="Z39" s="224"/>
      <c r="AA39" s="224">
        <f>X39*P39*8</f>
        <v>13.6</v>
      </c>
      <c r="AB39" s="1"/>
      <c r="AC39" s="1"/>
      <c r="AD39" s="202">
        <f t="shared" si="5"/>
        <v>7.5894187779433686</v>
      </c>
      <c r="AE39" s="295">
        <f t="shared" si="9"/>
        <v>12053.420745787438</v>
      </c>
      <c r="AF39" s="892">
        <f t="shared" si="6"/>
        <v>7.5894187779433686</v>
      </c>
    </row>
    <row r="40" spans="1:32" ht="13.5" thickBot="1" x14ac:dyDescent="0.25">
      <c r="A40" s="893">
        <v>29</v>
      </c>
      <c r="B40" s="12" t="s">
        <v>365</v>
      </c>
      <c r="C40" s="1"/>
      <c r="D40" s="1">
        <v>7</v>
      </c>
      <c r="E40" s="1" t="s">
        <v>1419</v>
      </c>
      <c r="F40" s="1" t="s">
        <v>1420</v>
      </c>
      <c r="G40" s="85" t="s">
        <v>308</v>
      </c>
      <c r="H40" s="885">
        <f t="shared" si="10"/>
        <v>1</v>
      </c>
      <c r="I40" s="1">
        <v>324</v>
      </c>
      <c r="J40" s="44"/>
      <c r="K40" s="886">
        <f t="shared" si="11"/>
        <v>0.39506172839506171</v>
      </c>
      <c r="L40" s="1">
        <v>128</v>
      </c>
      <c r="M40" s="885">
        <f t="shared" si="12"/>
        <v>5.301728395061728</v>
      </c>
      <c r="N40" s="885">
        <v>10</v>
      </c>
      <c r="O40" s="1">
        <v>1.7</v>
      </c>
      <c r="P40" s="1"/>
      <c r="Q40" s="385" t="s">
        <v>283</v>
      </c>
      <c r="R40" s="226">
        <v>0.35</v>
      </c>
      <c r="S40" s="251">
        <v>3355</v>
      </c>
      <c r="T40" s="18">
        <v>18</v>
      </c>
      <c r="U40" s="202">
        <f t="shared" si="2"/>
        <v>6.3</v>
      </c>
      <c r="V40" s="885">
        <f t="shared" si="3"/>
        <v>0.18861773472429211</v>
      </c>
      <c r="W40" s="894">
        <f>I40/L40</f>
        <v>2.53125</v>
      </c>
      <c r="X40" s="894"/>
      <c r="Y40" s="885">
        <f t="shared" si="4"/>
        <v>15.089418777943369</v>
      </c>
      <c r="Z40" s="224">
        <f t="shared" si="8"/>
        <v>34.424999999999997</v>
      </c>
      <c r="AA40" s="224"/>
      <c r="AB40" s="1">
        <v>242.9</v>
      </c>
      <c r="AC40" s="1"/>
      <c r="AD40" s="202">
        <f t="shared" si="5"/>
        <v>21.389418777943369</v>
      </c>
      <c r="AE40" s="295">
        <f t="shared" si="9"/>
        <v>12074.810164565382</v>
      </c>
      <c r="AF40" s="892">
        <f t="shared" si="6"/>
        <v>21.389418777943369</v>
      </c>
    </row>
    <row r="41" spans="1:32" ht="13.5" thickBot="1" x14ac:dyDescent="0.25">
      <c r="A41" s="893">
        <v>30</v>
      </c>
      <c r="B41" s="12" t="s">
        <v>1433</v>
      </c>
      <c r="C41" s="1"/>
      <c r="D41" s="1">
        <v>7</v>
      </c>
      <c r="E41" s="1" t="s">
        <v>266</v>
      </c>
      <c r="F41" s="1" t="s">
        <v>1297</v>
      </c>
      <c r="G41" s="85" t="s">
        <v>308</v>
      </c>
      <c r="H41" s="885">
        <f t="shared" si="10"/>
        <v>1</v>
      </c>
      <c r="I41" s="1">
        <v>324</v>
      </c>
      <c r="J41" s="44"/>
      <c r="K41" s="886">
        <f t="shared" si="11"/>
        <v>3.7037037037037035E-2</v>
      </c>
      <c r="L41" s="1">
        <v>12</v>
      </c>
      <c r="M41" s="885">
        <v>1</v>
      </c>
      <c r="N41" s="885">
        <v>10</v>
      </c>
      <c r="O41" s="1"/>
      <c r="P41" s="1">
        <v>1.7</v>
      </c>
      <c r="Q41" s="385"/>
      <c r="R41" s="226">
        <f t="shared" si="0"/>
        <v>0</v>
      </c>
      <c r="S41" s="251"/>
      <c r="T41" s="933"/>
      <c r="U41" s="202">
        <f t="shared" si="2"/>
        <v>0</v>
      </c>
      <c r="V41" s="885">
        <f t="shared" si="3"/>
        <v>1</v>
      </c>
      <c r="W41" s="894"/>
      <c r="X41" s="894">
        <f>I41/L41</f>
        <v>27</v>
      </c>
      <c r="Y41" s="885">
        <f t="shared" si="4"/>
        <v>80</v>
      </c>
      <c r="Z41" s="224"/>
      <c r="AA41" s="224">
        <f>X41*P41*8</f>
        <v>367.2</v>
      </c>
      <c r="AB41" s="1"/>
      <c r="AC41" s="1"/>
      <c r="AD41" s="202">
        <f t="shared" si="5"/>
        <v>80</v>
      </c>
      <c r="AE41" s="295">
        <f t="shared" si="9"/>
        <v>12154.810164565382</v>
      </c>
      <c r="AF41" s="892">
        <f t="shared" si="6"/>
        <v>80</v>
      </c>
    </row>
    <row r="42" spans="1:32" ht="13.5" thickBot="1" x14ac:dyDescent="0.25">
      <c r="A42" s="893">
        <v>31</v>
      </c>
      <c r="B42" s="12" t="s">
        <v>365</v>
      </c>
      <c r="C42" s="1"/>
      <c r="D42" s="1">
        <v>12</v>
      </c>
      <c r="E42" s="1" t="s">
        <v>1419</v>
      </c>
      <c r="F42" s="1" t="s">
        <v>1420</v>
      </c>
      <c r="G42" s="85" t="s">
        <v>308</v>
      </c>
      <c r="H42" s="885">
        <f t="shared" si="10"/>
        <v>1</v>
      </c>
      <c r="I42" s="1">
        <v>324</v>
      </c>
      <c r="J42" s="44"/>
      <c r="K42" s="886">
        <f t="shared" si="11"/>
        <v>0.39506172839506171</v>
      </c>
      <c r="L42" s="1">
        <v>128</v>
      </c>
      <c r="M42" s="885">
        <f t="shared" si="12"/>
        <v>5.301728395061728</v>
      </c>
      <c r="N42" s="885">
        <v>10</v>
      </c>
      <c r="O42" s="1">
        <v>1.7</v>
      </c>
      <c r="P42" s="1"/>
      <c r="Q42" s="385" t="s">
        <v>283</v>
      </c>
      <c r="R42" s="226">
        <v>0.35</v>
      </c>
      <c r="S42" s="251">
        <v>3355</v>
      </c>
      <c r="T42" s="18">
        <v>18</v>
      </c>
      <c r="U42" s="202">
        <f t="shared" si="2"/>
        <v>6.3</v>
      </c>
      <c r="V42" s="885">
        <f t="shared" si="3"/>
        <v>0.18861773472429211</v>
      </c>
      <c r="W42" s="894">
        <f>I42/L42</f>
        <v>2.53125</v>
      </c>
      <c r="X42" s="894"/>
      <c r="Y42" s="885">
        <f t="shared" si="4"/>
        <v>15.089418777943369</v>
      </c>
      <c r="Z42" s="224">
        <f t="shared" si="8"/>
        <v>34.424999999999997</v>
      </c>
      <c r="AA42" s="224"/>
      <c r="AB42" s="1">
        <v>242.9</v>
      </c>
      <c r="AC42" s="1"/>
      <c r="AD42" s="202">
        <f t="shared" si="5"/>
        <v>21.389418777943369</v>
      </c>
      <c r="AE42" s="295">
        <f t="shared" si="9"/>
        <v>12176.199583343327</v>
      </c>
      <c r="AF42" s="892">
        <f t="shared" si="6"/>
        <v>21.389418777943369</v>
      </c>
    </row>
    <row r="43" spans="1:32" ht="13.5" thickBot="1" x14ac:dyDescent="0.25">
      <c r="A43" s="893">
        <v>32</v>
      </c>
      <c r="B43" s="12" t="s">
        <v>1433</v>
      </c>
      <c r="C43" s="1"/>
      <c r="D43" s="1">
        <v>12</v>
      </c>
      <c r="E43" s="1" t="s">
        <v>266</v>
      </c>
      <c r="F43" s="1" t="s">
        <v>1297</v>
      </c>
      <c r="G43" s="85" t="s">
        <v>308</v>
      </c>
      <c r="H43" s="885">
        <f t="shared" si="10"/>
        <v>1</v>
      </c>
      <c r="I43" s="1">
        <v>324</v>
      </c>
      <c r="J43" s="44"/>
      <c r="K43" s="886">
        <f t="shared" si="11"/>
        <v>3.7037037037037035E-2</v>
      </c>
      <c r="L43" s="1">
        <v>12</v>
      </c>
      <c r="M43" s="885">
        <v>1</v>
      </c>
      <c r="N43" s="885">
        <v>10</v>
      </c>
      <c r="O43" s="1"/>
      <c r="P43" s="1">
        <v>1.7</v>
      </c>
      <c r="Q43" s="385"/>
      <c r="R43" s="226">
        <f t="shared" si="0"/>
        <v>0</v>
      </c>
      <c r="S43" s="251"/>
      <c r="T43" s="933"/>
      <c r="U43" s="202">
        <f t="shared" si="2"/>
        <v>0</v>
      </c>
      <c r="V43" s="885">
        <f t="shared" si="3"/>
        <v>1</v>
      </c>
      <c r="W43" s="894"/>
      <c r="X43" s="894">
        <f>I43/L43</f>
        <v>27</v>
      </c>
      <c r="Y43" s="885">
        <f t="shared" si="4"/>
        <v>80</v>
      </c>
      <c r="Z43" s="224"/>
      <c r="AA43" s="224">
        <f>X43*P43*8</f>
        <v>367.2</v>
      </c>
      <c r="AB43" s="1"/>
      <c r="AC43" s="1"/>
      <c r="AD43" s="202">
        <f t="shared" si="5"/>
        <v>80</v>
      </c>
      <c r="AE43" s="295">
        <f t="shared" si="9"/>
        <v>12256.199583343327</v>
      </c>
      <c r="AF43" s="892">
        <f t="shared" si="6"/>
        <v>80</v>
      </c>
    </row>
    <row r="44" spans="1:32" ht="13.5" thickBot="1" x14ac:dyDescent="0.25">
      <c r="A44" s="893">
        <v>33</v>
      </c>
      <c r="B44" s="12" t="s">
        <v>365</v>
      </c>
      <c r="C44" s="1"/>
      <c r="D44" s="1">
        <v>17</v>
      </c>
      <c r="E44" s="1" t="s">
        <v>1419</v>
      </c>
      <c r="F44" s="1" t="s">
        <v>1420</v>
      </c>
      <c r="G44" s="85" t="s">
        <v>308</v>
      </c>
      <c r="H44" s="885">
        <f t="shared" si="10"/>
        <v>1</v>
      </c>
      <c r="I44" s="1">
        <v>324</v>
      </c>
      <c r="J44" s="44"/>
      <c r="K44" s="886">
        <f t="shared" si="11"/>
        <v>0.39506172839506171</v>
      </c>
      <c r="L44" s="1">
        <v>128</v>
      </c>
      <c r="M44" s="885">
        <f t="shared" si="12"/>
        <v>5.301728395061728</v>
      </c>
      <c r="N44" s="885">
        <v>10</v>
      </c>
      <c r="O44" s="1">
        <v>1.7</v>
      </c>
      <c r="P44" s="1"/>
      <c r="Q44" s="385" t="s">
        <v>283</v>
      </c>
      <c r="R44" s="226">
        <v>0.35</v>
      </c>
      <c r="S44" s="251">
        <v>3355</v>
      </c>
      <c r="T44" s="18">
        <v>18</v>
      </c>
      <c r="U44" s="202">
        <f t="shared" si="2"/>
        <v>6.3</v>
      </c>
      <c r="V44" s="885">
        <f t="shared" si="3"/>
        <v>0.18861773472429211</v>
      </c>
      <c r="W44" s="894">
        <f>I44/L44</f>
        <v>2.53125</v>
      </c>
      <c r="X44" s="894"/>
      <c r="Y44" s="885">
        <f t="shared" si="4"/>
        <v>15.089418777943369</v>
      </c>
      <c r="Z44" s="224">
        <f t="shared" si="8"/>
        <v>34.424999999999997</v>
      </c>
      <c r="AA44" s="224"/>
      <c r="AB44" s="1">
        <v>242.9</v>
      </c>
      <c r="AC44" s="1"/>
      <c r="AD44" s="202">
        <f t="shared" si="5"/>
        <v>21.389418777943369</v>
      </c>
      <c r="AE44" s="295">
        <f t="shared" si="9"/>
        <v>12277.589002121271</v>
      </c>
      <c r="AF44" s="892">
        <f t="shared" si="6"/>
        <v>21.389418777943369</v>
      </c>
    </row>
    <row r="45" spans="1:32" ht="13.5" thickBot="1" x14ac:dyDescent="0.25">
      <c r="A45" s="893">
        <v>34</v>
      </c>
      <c r="B45" s="12" t="s">
        <v>1433</v>
      </c>
      <c r="C45" s="1"/>
      <c r="D45" s="1">
        <v>17</v>
      </c>
      <c r="E45" s="1" t="s">
        <v>266</v>
      </c>
      <c r="F45" s="1" t="s">
        <v>1297</v>
      </c>
      <c r="G45" s="85" t="s">
        <v>308</v>
      </c>
      <c r="H45" s="885">
        <f t="shared" si="10"/>
        <v>1</v>
      </c>
      <c r="I45" s="1">
        <v>324</v>
      </c>
      <c r="J45" s="44"/>
      <c r="K45" s="886">
        <f t="shared" si="11"/>
        <v>3.7037037037037035E-2</v>
      </c>
      <c r="L45" s="1">
        <v>12</v>
      </c>
      <c r="M45" s="885">
        <v>1</v>
      </c>
      <c r="N45" s="885">
        <v>10</v>
      </c>
      <c r="O45" s="1"/>
      <c r="P45" s="1">
        <v>1.7</v>
      </c>
      <c r="Q45" s="385"/>
      <c r="R45" s="226">
        <f t="shared" si="0"/>
        <v>0</v>
      </c>
      <c r="S45" s="251"/>
      <c r="T45" s="933"/>
      <c r="U45" s="202">
        <f t="shared" si="2"/>
        <v>0</v>
      </c>
      <c r="V45" s="885">
        <f t="shared" si="3"/>
        <v>1</v>
      </c>
      <c r="W45" s="894"/>
      <c r="X45" s="894">
        <f>I45/L45</f>
        <v>27</v>
      </c>
      <c r="Y45" s="885">
        <f t="shared" si="4"/>
        <v>80</v>
      </c>
      <c r="Z45" s="224"/>
      <c r="AA45" s="224">
        <f>X45*P45*8</f>
        <v>367.2</v>
      </c>
      <c r="AB45" s="1"/>
      <c r="AC45" s="1"/>
      <c r="AD45" s="202">
        <f t="shared" si="5"/>
        <v>80</v>
      </c>
      <c r="AE45" s="295">
        <f t="shared" si="9"/>
        <v>12357.589002121271</v>
      </c>
      <c r="AF45" s="892">
        <f t="shared" si="6"/>
        <v>80</v>
      </c>
    </row>
    <row r="46" spans="1:32" ht="13.5" thickBot="1" x14ac:dyDescent="0.25">
      <c r="A46" s="893">
        <v>35</v>
      </c>
      <c r="B46" s="12" t="s">
        <v>365</v>
      </c>
      <c r="C46" s="1"/>
      <c r="D46" s="1">
        <v>22</v>
      </c>
      <c r="E46" s="1" t="s">
        <v>1419</v>
      </c>
      <c r="F46" s="1" t="s">
        <v>1420</v>
      </c>
      <c r="G46" s="85" t="s">
        <v>308</v>
      </c>
      <c r="H46" s="885">
        <f t="shared" si="10"/>
        <v>1</v>
      </c>
      <c r="I46" s="1">
        <v>324</v>
      </c>
      <c r="J46" s="44"/>
      <c r="K46" s="886">
        <f t="shared" si="11"/>
        <v>0.39506172839506171</v>
      </c>
      <c r="L46" s="1">
        <v>128</v>
      </c>
      <c r="M46" s="885">
        <f t="shared" si="12"/>
        <v>5.301728395061728</v>
      </c>
      <c r="N46" s="885">
        <v>10</v>
      </c>
      <c r="O46" s="1">
        <v>1.7</v>
      </c>
      <c r="P46" s="1"/>
      <c r="Q46" s="385" t="s">
        <v>283</v>
      </c>
      <c r="R46" s="226">
        <v>0.35</v>
      </c>
      <c r="S46" s="251">
        <v>3355</v>
      </c>
      <c r="T46" s="18">
        <v>18</v>
      </c>
      <c r="U46" s="202">
        <f t="shared" si="2"/>
        <v>6.3</v>
      </c>
      <c r="V46" s="885">
        <f t="shared" si="3"/>
        <v>0.18861773472429211</v>
      </c>
      <c r="W46" s="894">
        <f>I46/L46</f>
        <v>2.53125</v>
      </c>
      <c r="X46" s="894"/>
      <c r="Y46" s="885">
        <f t="shared" si="4"/>
        <v>15.089418777943369</v>
      </c>
      <c r="Z46" s="224">
        <f t="shared" si="8"/>
        <v>34.424999999999997</v>
      </c>
      <c r="AA46" s="224"/>
      <c r="AB46" s="1">
        <v>242.9</v>
      </c>
      <c r="AC46" s="1"/>
      <c r="AD46" s="202">
        <f t="shared" si="5"/>
        <v>21.389418777943369</v>
      </c>
      <c r="AE46" s="295">
        <f t="shared" si="9"/>
        <v>12378.978420899215</v>
      </c>
      <c r="AF46" s="892">
        <f t="shared" si="6"/>
        <v>21.389418777943369</v>
      </c>
    </row>
    <row r="47" spans="1:32" ht="13.5" thickBot="1" x14ac:dyDescent="0.25">
      <c r="A47" s="893">
        <v>36</v>
      </c>
      <c r="B47" s="12" t="s">
        <v>1433</v>
      </c>
      <c r="C47" s="1"/>
      <c r="D47" s="1">
        <v>22</v>
      </c>
      <c r="E47" s="1" t="s">
        <v>266</v>
      </c>
      <c r="F47" s="1" t="s">
        <v>1297</v>
      </c>
      <c r="G47" s="85" t="s">
        <v>308</v>
      </c>
      <c r="H47" s="885">
        <f t="shared" si="10"/>
        <v>1</v>
      </c>
      <c r="I47" s="1">
        <v>324</v>
      </c>
      <c r="J47" s="44"/>
      <c r="K47" s="886">
        <f t="shared" si="11"/>
        <v>3.7037037037037035E-2</v>
      </c>
      <c r="L47" s="1">
        <v>12</v>
      </c>
      <c r="M47" s="885">
        <v>1</v>
      </c>
      <c r="N47" s="885">
        <v>10</v>
      </c>
      <c r="O47" s="1"/>
      <c r="P47" s="1">
        <v>1.7</v>
      </c>
      <c r="Q47" s="385"/>
      <c r="R47" s="226">
        <f t="shared" si="0"/>
        <v>0</v>
      </c>
      <c r="S47" s="251"/>
      <c r="T47" s="933"/>
      <c r="U47" s="202">
        <f t="shared" si="2"/>
        <v>0</v>
      </c>
      <c r="V47" s="885">
        <f t="shared" si="3"/>
        <v>1</v>
      </c>
      <c r="W47" s="894"/>
      <c r="X47" s="894">
        <f>I47/L47</f>
        <v>27</v>
      </c>
      <c r="Y47" s="885">
        <f t="shared" si="4"/>
        <v>80</v>
      </c>
      <c r="Z47" s="224"/>
      <c r="AA47" s="224">
        <f>X47*P47*8</f>
        <v>367.2</v>
      </c>
      <c r="AB47" s="1"/>
      <c r="AC47" s="1"/>
      <c r="AD47" s="202">
        <f t="shared" si="5"/>
        <v>80</v>
      </c>
      <c r="AE47" s="295">
        <f t="shared" si="9"/>
        <v>12458.978420899215</v>
      </c>
      <c r="AF47" s="892">
        <f t="shared" si="6"/>
        <v>80</v>
      </c>
    </row>
    <row r="48" spans="1:32" ht="13.5" thickBot="1" x14ac:dyDescent="0.25">
      <c r="A48" s="893">
        <v>38</v>
      </c>
      <c r="B48" s="12" t="s">
        <v>365</v>
      </c>
      <c r="C48" s="1"/>
      <c r="D48" s="1">
        <v>27</v>
      </c>
      <c r="E48" s="1" t="s">
        <v>1419</v>
      </c>
      <c r="F48" s="1" t="s">
        <v>1420</v>
      </c>
      <c r="G48" s="85" t="s">
        <v>308</v>
      </c>
      <c r="H48" s="885">
        <f t="shared" si="10"/>
        <v>1</v>
      </c>
      <c r="I48" s="1">
        <v>324</v>
      </c>
      <c r="J48" s="44"/>
      <c r="K48" s="886">
        <f t="shared" si="11"/>
        <v>0.39506172839506171</v>
      </c>
      <c r="L48" s="1">
        <v>128</v>
      </c>
      <c r="M48" s="885">
        <f t="shared" si="12"/>
        <v>5.301728395061728</v>
      </c>
      <c r="N48" s="885">
        <v>10</v>
      </c>
      <c r="O48" s="1">
        <v>1.7</v>
      </c>
      <c r="P48" s="1"/>
      <c r="Q48" s="385" t="s">
        <v>283</v>
      </c>
      <c r="R48" s="226">
        <v>0.35</v>
      </c>
      <c r="S48" s="251">
        <v>3355</v>
      </c>
      <c r="T48" s="18">
        <v>18</v>
      </c>
      <c r="U48" s="202">
        <f t="shared" si="2"/>
        <v>6.3</v>
      </c>
      <c r="V48" s="885">
        <f t="shared" si="3"/>
        <v>0.18861773472429211</v>
      </c>
      <c r="W48" s="894">
        <f>I48/L48</f>
        <v>2.53125</v>
      </c>
      <c r="X48" s="894"/>
      <c r="Y48" s="885">
        <f t="shared" si="4"/>
        <v>15.089418777943369</v>
      </c>
      <c r="Z48" s="224">
        <f t="shared" si="8"/>
        <v>34.424999999999997</v>
      </c>
      <c r="AA48" s="224"/>
      <c r="AB48" s="1">
        <v>242.9</v>
      </c>
      <c r="AC48" s="1"/>
      <c r="AD48" s="202">
        <f t="shared" si="5"/>
        <v>21.389418777943369</v>
      </c>
      <c r="AE48" s="295">
        <f>AE47+AD48</f>
        <v>12480.367839677159</v>
      </c>
      <c r="AF48" s="892">
        <f t="shared" si="6"/>
        <v>21.389418777943369</v>
      </c>
    </row>
    <row r="49" spans="1:32" ht="13.5" thickBot="1" x14ac:dyDescent="0.25">
      <c r="A49" s="893">
        <v>39</v>
      </c>
      <c r="B49" s="12" t="s">
        <v>1433</v>
      </c>
      <c r="C49" s="1"/>
      <c r="D49" s="1">
        <v>27</v>
      </c>
      <c r="E49" s="1" t="s">
        <v>266</v>
      </c>
      <c r="F49" s="1" t="s">
        <v>1297</v>
      </c>
      <c r="G49" s="85" t="s">
        <v>308</v>
      </c>
      <c r="H49" s="885">
        <f t="shared" si="10"/>
        <v>1</v>
      </c>
      <c r="I49" s="1">
        <v>324</v>
      </c>
      <c r="J49" s="44"/>
      <c r="K49" s="886">
        <f t="shared" si="11"/>
        <v>3.7037037037037035E-2</v>
      </c>
      <c r="L49" s="1">
        <v>12</v>
      </c>
      <c r="M49" s="885">
        <v>1</v>
      </c>
      <c r="N49" s="885">
        <v>10</v>
      </c>
      <c r="O49" s="1"/>
      <c r="P49" s="1">
        <v>1.7</v>
      </c>
      <c r="Q49" s="385"/>
      <c r="R49" s="226">
        <f t="shared" si="0"/>
        <v>0</v>
      </c>
      <c r="S49" s="251"/>
      <c r="T49" s="933"/>
      <c r="U49" s="202">
        <f t="shared" si="2"/>
        <v>0</v>
      </c>
      <c r="V49" s="885">
        <f t="shared" si="3"/>
        <v>1</v>
      </c>
      <c r="W49" s="894"/>
      <c r="X49" s="894">
        <f>I49/L49</f>
        <v>27</v>
      </c>
      <c r="Y49" s="885">
        <f t="shared" si="4"/>
        <v>80</v>
      </c>
      <c r="Z49" s="224"/>
      <c r="AA49" s="224">
        <f>X49*P49*8</f>
        <v>367.2</v>
      </c>
      <c r="AB49" s="1"/>
      <c r="AC49" s="1"/>
      <c r="AD49" s="202">
        <f t="shared" si="5"/>
        <v>80</v>
      </c>
      <c r="AE49" s="295">
        <f t="shared" si="9"/>
        <v>12560.367839677159</v>
      </c>
      <c r="AF49" s="892">
        <f t="shared" si="6"/>
        <v>80</v>
      </c>
    </row>
    <row r="50" spans="1:32" ht="13.5" thickBot="1" x14ac:dyDescent="0.25">
      <c r="A50" s="893">
        <v>40</v>
      </c>
      <c r="B50" s="12" t="s">
        <v>1438</v>
      </c>
      <c r="C50" s="1"/>
      <c r="D50" s="1">
        <v>28</v>
      </c>
      <c r="E50" s="85" t="s">
        <v>1403</v>
      </c>
      <c r="F50" s="1" t="s">
        <v>1429</v>
      </c>
      <c r="G50" s="85" t="s">
        <v>308</v>
      </c>
      <c r="H50" s="885">
        <f t="shared" si="10"/>
        <v>1</v>
      </c>
      <c r="I50" s="1">
        <v>324</v>
      </c>
      <c r="J50" s="44"/>
      <c r="K50" s="886">
        <f t="shared" si="11"/>
        <v>1</v>
      </c>
      <c r="L50" s="1">
        <v>324</v>
      </c>
      <c r="M50" s="885">
        <f t="shared" si="12"/>
        <v>13.42</v>
      </c>
      <c r="N50" s="885">
        <v>10</v>
      </c>
      <c r="O50" s="1">
        <v>1.36</v>
      </c>
      <c r="P50" s="1"/>
      <c r="Q50" s="385" t="s">
        <v>234</v>
      </c>
      <c r="R50" s="226">
        <f t="shared" si="0"/>
        <v>4.0983606557377046</v>
      </c>
      <c r="S50" s="251">
        <v>55</v>
      </c>
      <c r="T50" s="202">
        <f>'PRECIOS INSUMOS 2015'!C$5</f>
        <v>2</v>
      </c>
      <c r="U50" s="202">
        <f t="shared" si="2"/>
        <v>8.1967213114754092</v>
      </c>
      <c r="V50" s="885">
        <f t="shared" si="3"/>
        <v>7.4515648286140088E-2</v>
      </c>
      <c r="W50" s="894">
        <f>I50/L50</f>
        <v>1</v>
      </c>
      <c r="X50" s="894"/>
      <c r="Y50" s="885">
        <f t="shared" si="4"/>
        <v>5.9612518628912072</v>
      </c>
      <c r="Z50" s="224">
        <f t="shared" si="8"/>
        <v>10.88</v>
      </c>
      <c r="AA50" s="224"/>
      <c r="AB50" s="1"/>
      <c r="AC50" s="1"/>
      <c r="AD50" s="202">
        <f t="shared" si="5"/>
        <v>14.157973174366617</v>
      </c>
      <c r="AE50" s="295">
        <f t="shared" si="9"/>
        <v>12574.525812851525</v>
      </c>
      <c r="AF50" s="892">
        <f t="shared" si="6"/>
        <v>14.157973174366617</v>
      </c>
    </row>
    <row r="51" spans="1:32" ht="13.5" thickBot="1" x14ac:dyDescent="0.25">
      <c r="A51" s="893">
        <v>41</v>
      </c>
      <c r="B51" s="12" t="s">
        <v>1439</v>
      </c>
      <c r="C51" s="1"/>
      <c r="D51" s="1">
        <v>28</v>
      </c>
      <c r="E51" s="1"/>
      <c r="F51" s="1"/>
      <c r="G51" s="85" t="s">
        <v>308</v>
      </c>
      <c r="H51" s="885">
        <f t="shared" si="10"/>
        <v>1</v>
      </c>
      <c r="I51" s="1">
        <v>324</v>
      </c>
      <c r="J51" s="44"/>
      <c r="K51" s="886">
        <f t="shared" si="11"/>
        <v>1</v>
      </c>
      <c r="L51" s="1">
        <v>324</v>
      </c>
      <c r="M51" s="885">
        <f t="shared" si="12"/>
        <v>13.42</v>
      </c>
      <c r="N51" s="885">
        <v>10</v>
      </c>
      <c r="O51" s="1"/>
      <c r="P51" s="1">
        <v>1.7</v>
      </c>
      <c r="Q51" s="385" t="s">
        <v>1440</v>
      </c>
      <c r="R51" s="226">
        <f t="shared" si="0"/>
        <v>2</v>
      </c>
      <c r="S51" s="251">
        <f>2*13.42</f>
        <v>26.84</v>
      </c>
      <c r="T51" s="18">
        <f>'PRECIOS INSUMOS 2015'!H$30</f>
        <v>8.9499999999999993</v>
      </c>
      <c r="U51" s="202">
        <f t="shared" si="2"/>
        <v>17.899999999999999</v>
      </c>
      <c r="V51" s="885">
        <f t="shared" si="3"/>
        <v>7.4515648286140088E-2</v>
      </c>
      <c r="W51" s="894"/>
      <c r="X51" s="894">
        <f>I51/L51</f>
        <v>1</v>
      </c>
      <c r="Y51" s="885">
        <f t="shared" si="4"/>
        <v>5.9612518628912072</v>
      </c>
      <c r="Z51" s="224"/>
      <c r="AA51" s="224">
        <f>X51*P51*8</f>
        <v>13.6</v>
      </c>
      <c r="AB51" s="1"/>
      <c r="AC51" s="1"/>
      <c r="AD51" s="202">
        <f t="shared" si="5"/>
        <v>23.861251862891205</v>
      </c>
      <c r="AE51" s="295">
        <f t="shared" si="9"/>
        <v>12598.387064714416</v>
      </c>
      <c r="AF51" s="892">
        <f t="shared" si="6"/>
        <v>23.861251862891205</v>
      </c>
    </row>
    <row r="52" spans="1:32" ht="13.5" thickBot="1" x14ac:dyDescent="0.25">
      <c r="A52" s="893">
        <v>42</v>
      </c>
      <c r="B52" s="12" t="s">
        <v>1411</v>
      </c>
      <c r="C52" s="1"/>
      <c r="D52" s="1">
        <v>29</v>
      </c>
      <c r="E52" s="1" t="s">
        <v>1403</v>
      </c>
      <c r="F52" s="1" t="s">
        <v>432</v>
      </c>
      <c r="G52" s="1" t="s">
        <v>437</v>
      </c>
      <c r="H52" s="226">
        <f>3/13.42</f>
        <v>0.22354694485842028</v>
      </c>
      <c r="I52" s="1">
        <v>3</v>
      </c>
      <c r="J52" s="1"/>
      <c r="K52" s="100">
        <v>4.5</v>
      </c>
      <c r="L52" s="1">
        <v>4.5</v>
      </c>
      <c r="M52" s="895">
        <f>K52/13.42</f>
        <v>0.3353204172876304</v>
      </c>
      <c r="N52" s="885">
        <v>10</v>
      </c>
      <c r="O52" s="1">
        <v>1.36</v>
      </c>
      <c r="P52" s="1"/>
      <c r="Q52" s="385"/>
      <c r="R52" s="226">
        <f t="shared" si="0"/>
        <v>0</v>
      </c>
      <c r="S52" s="251"/>
      <c r="T52" s="897"/>
      <c r="U52" s="202">
        <f t="shared" si="2"/>
        <v>0</v>
      </c>
      <c r="V52" s="885">
        <f t="shared" si="3"/>
        <v>0.66666666666666674</v>
      </c>
      <c r="W52" s="894">
        <f>I52/L52</f>
        <v>0.66666666666666663</v>
      </c>
      <c r="X52" s="894"/>
      <c r="Y52" s="885">
        <f t="shared" si="4"/>
        <v>53.333333333333343</v>
      </c>
      <c r="Z52" s="224">
        <f t="shared" si="8"/>
        <v>7.2533333333333339</v>
      </c>
      <c r="AA52" s="224"/>
      <c r="AB52" s="1"/>
      <c r="AC52" s="1"/>
      <c r="AD52" s="202">
        <f t="shared" si="5"/>
        <v>53.333333333333343</v>
      </c>
      <c r="AE52" s="295">
        <f t="shared" si="9"/>
        <v>12651.72039804775</v>
      </c>
      <c r="AF52" s="892">
        <f t="shared" si="6"/>
        <v>53.333333333333343</v>
      </c>
    </row>
    <row r="53" spans="1:32" ht="13.5" thickBot="1" x14ac:dyDescent="0.25">
      <c r="A53" s="893">
        <v>43</v>
      </c>
      <c r="B53" s="12" t="s">
        <v>1412</v>
      </c>
      <c r="C53" s="1"/>
      <c r="D53" s="1">
        <v>29</v>
      </c>
      <c r="E53" s="1"/>
      <c r="F53" s="1"/>
      <c r="G53" s="1" t="s">
        <v>437</v>
      </c>
      <c r="H53" s="226">
        <f>3/13.42</f>
        <v>0.22354694485842028</v>
      </c>
      <c r="I53" s="1">
        <v>3</v>
      </c>
      <c r="J53" s="1"/>
      <c r="K53" s="100">
        <v>4.5</v>
      </c>
      <c r="L53" s="894">
        <v>4.5</v>
      </c>
      <c r="M53" s="895">
        <f>K53/13.42</f>
        <v>0.3353204172876304</v>
      </c>
      <c r="N53" s="885">
        <v>10</v>
      </c>
      <c r="O53" s="1"/>
      <c r="P53" s="1">
        <v>1.7</v>
      </c>
      <c r="Q53" s="385"/>
      <c r="R53" s="226">
        <f t="shared" si="0"/>
        <v>0</v>
      </c>
      <c r="S53" s="251"/>
      <c r="T53" s="897"/>
      <c r="U53" s="202">
        <f t="shared" si="2"/>
        <v>0</v>
      </c>
      <c r="V53" s="885">
        <f t="shared" si="3"/>
        <v>0.66666666666666674</v>
      </c>
      <c r="W53" s="894"/>
      <c r="X53" s="224">
        <f>I53/L53</f>
        <v>0.66666666666666663</v>
      </c>
      <c r="Y53" s="885">
        <f t="shared" si="4"/>
        <v>53.333333333333343</v>
      </c>
      <c r="Z53" s="224"/>
      <c r="AA53" s="224">
        <f>X53*P53*8</f>
        <v>9.0666666666666664</v>
      </c>
      <c r="AB53" s="1"/>
      <c r="AC53" s="1"/>
      <c r="AD53" s="202">
        <f t="shared" si="5"/>
        <v>53.333333333333343</v>
      </c>
      <c r="AE53" s="295">
        <f t="shared" si="9"/>
        <v>12705.053731381084</v>
      </c>
      <c r="AF53" s="892">
        <f t="shared" si="6"/>
        <v>53.333333333333343</v>
      </c>
    </row>
    <row r="54" spans="1:32" ht="13.5" thickBot="1" x14ac:dyDescent="0.25">
      <c r="A54" s="899">
        <v>44</v>
      </c>
      <c r="B54" s="900" t="s">
        <v>1441</v>
      </c>
      <c r="C54" s="58"/>
      <c r="D54" s="58">
        <v>30</v>
      </c>
      <c r="E54" s="58" t="s">
        <v>266</v>
      </c>
      <c r="F54" s="58" t="s">
        <v>1442</v>
      </c>
      <c r="G54" s="85" t="s">
        <v>308</v>
      </c>
      <c r="H54" s="885">
        <f t="shared" ref="H54:H60" si="13">I54/324</f>
        <v>1</v>
      </c>
      <c r="I54" s="58">
        <v>324</v>
      </c>
      <c r="J54" s="901"/>
      <c r="K54" s="886">
        <f t="shared" ref="K54:K60" si="14">L54/324</f>
        <v>6.1728395061728392E-2</v>
      </c>
      <c r="L54" s="58">
        <v>20</v>
      </c>
      <c r="M54" s="885">
        <f t="shared" ref="M54:M117" si="15">K54*13.42</f>
        <v>0.82839506172839505</v>
      </c>
      <c r="N54" s="885">
        <v>10</v>
      </c>
      <c r="O54" s="58"/>
      <c r="P54" s="58">
        <v>1.7</v>
      </c>
      <c r="Q54" s="902" t="s">
        <v>215</v>
      </c>
      <c r="R54" s="226">
        <f t="shared" si="0"/>
        <v>0.22354694485842028</v>
      </c>
      <c r="S54" s="903">
        <v>3</v>
      </c>
      <c r="T54" s="59">
        <v>530</v>
      </c>
      <c r="U54" s="202">
        <f t="shared" si="2"/>
        <v>118.47988077496275</v>
      </c>
      <c r="V54" s="885">
        <f t="shared" si="3"/>
        <v>1.2071535022354694</v>
      </c>
      <c r="W54" s="904"/>
      <c r="X54" s="904">
        <f>I54/L54</f>
        <v>16.2</v>
      </c>
      <c r="Y54" s="885">
        <f t="shared" si="4"/>
        <v>96.572280178837545</v>
      </c>
      <c r="Z54" s="905"/>
      <c r="AA54" s="905">
        <f>X54*P54*8</f>
        <v>220.32</v>
      </c>
      <c r="AB54" s="58"/>
      <c r="AC54" s="58"/>
      <c r="AD54" s="202">
        <f t="shared" si="5"/>
        <v>215.0521609538003</v>
      </c>
      <c r="AE54" s="906">
        <f t="shared" si="9"/>
        <v>12920.105892334885</v>
      </c>
      <c r="AF54" s="892">
        <f t="shared" si="6"/>
        <v>215.0521609538003</v>
      </c>
    </row>
    <row r="55" spans="1:32" ht="13.5" thickBot="1" x14ac:dyDescent="0.25">
      <c r="A55" s="883">
        <v>45</v>
      </c>
      <c r="B55" s="884" t="s">
        <v>1443</v>
      </c>
      <c r="C55" s="85"/>
      <c r="D55" s="85">
        <v>30</v>
      </c>
      <c r="E55" s="85" t="s">
        <v>266</v>
      </c>
      <c r="F55" s="85" t="s">
        <v>266</v>
      </c>
      <c r="G55" s="85" t="s">
        <v>308</v>
      </c>
      <c r="H55" s="885">
        <f t="shared" si="13"/>
        <v>1</v>
      </c>
      <c r="I55" s="85">
        <v>324</v>
      </c>
      <c r="J55" s="85"/>
      <c r="K55" s="886">
        <f t="shared" si="14"/>
        <v>1.8518518518518517E-2</v>
      </c>
      <c r="L55" s="85">
        <v>6</v>
      </c>
      <c r="M55" s="885">
        <v>0.5</v>
      </c>
      <c r="N55" s="885">
        <v>10</v>
      </c>
      <c r="O55" s="85"/>
      <c r="P55" s="85">
        <v>1.7</v>
      </c>
      <c r="Q55" s="888"/>
      <c r="R55" s="226">
        <f t="shared" si="0"/>
        <v>0</v>
      </c>
      <c r="S55" s="889"/>
      <c r="T55" s="907"/>
      <c r="U55" s="202">
        <f t="shared" si="2"/>
        <v>0</v>
      </c>
      <c r="V55" s="885">
        <f t="shared" si="3"/>
        <v>2</v>
      </c>
      <c r="W55" s="890"/>
      <c r="X55" s="890">
        <f>I55/L55</f>
        <v>54</v>
      </c>
      <c r="Y55" s="885">
        <f t="shared" si="4"/>
        <v>160</v>
      </c>
      <c r="Z55" s="887"/>
      <c r="AA55" s="887">
        <f>X55*P55*8</f>
        <v>734.4</v>
      </c>
      <c r="AB55" s="85"/>
      <c r="AC55" s="85"/>
      <c r="AD55" s="202">
        <f t="shared" si="5"/>
        <v>160</v>
      </c>
      <c r="AE55" s="891">
        <f t="shared" si="9"/>
        <v>13080.105892334885</v>
      </c>
      <c r="AF55" s="892">
        <f t="shared" si="6"/>
        <v>160</v>
      </c>
    </row>
    <row r="56" spans="1:32" ht="13.5" thickBot="1" x14ac:dyDescent="0.25">
      <c r="A56" s="893">
        <v>46</v>
      </c>
      <c r="B56" s="12" t="s">
        <v>1444</v>
      </c>
      <c r="C56" s="1"/>
      <c r="D56" s="1">
        <v>30</v>
      </c>
      <c r="E56" s="1" t="s">
        <v>1403</v>
      </c>
      <c r="F56" s="1" t="s">
        <v>1429</v>
      </c>
      <c r="G56" s="85" t="s">
        <v>308</v>
      </c>
      <c r="H56" s="885">
        <f t="shared" si="13"/>
        <v>1</v>
      </c>
      <c r="I56" s="1">
        <v>324</v>
      </c>
      <c r="J56" s="44"/>
      <c r="K56" s="886">
        <f t="shared" si="14"/>
        <v>1</v>
      </c>
      <c r="L56" s="1">
        <v>324</v>
      </c>
      <c r="M56" s="885">
        <f t="shared" si="15"/>
        <v>13.42</v>
      </c>
      <c r="N56" s="885">
        <v>10</v>
      </c>
      <c r="O56" s="1">
        <v>1.36</v>
      </c>
      <c r="P56" s="1"/>
      <c r="Q56" s="385" t="s">
        <v>234</v>
      </c>
      <c r="R56" s="226">
        <f t="shared" si="0"/>
        <v>4.0983606557377046</v>
      </c>
      <c r="S56" s="251">
        <v>55</v>
      </c>
      <c r="T56" s="202">
        <f>'PRECIOS INSUMOS 2015'!C$5</f>
        <v>2</v>
      </c>
      <c r="U56" s="202">
        <f t="shared" si="2"/>
        <v>8.1967213114754092</v>
      </c>
      <c r="V56" s="885">
        <f t="shared" si="3"/>
        <v>7.4515648286140088E-2</v>
      </c>
      <c r="W56" s="894">
        <f>I56/L56</f>
        <v>1</v>
      </c>
      <c r="X56" s="894"/>
      <c r="Y56" s="885">
        <f t="shared" si="4"/>
        <v>5.9612518628912072</v>
      </c>
      <c r="Z56" s="224">
        <f t="shared" si="8"/>
        <v>10.88</v>
      </c>
      <c r="AA56" s="224"/>
      <c r="AB56" s="1"/>
      <c r="AC56" s="1"/>
      <c r="AD56" s="202">
        <f t="shared" si="5"/>
        <v>14.157973174366617</v>
      </c>
      <c r="AE56" s="295">
        <f t="shared" si="9"/>
        <v>13094.263865509251</v>
      </c>
      <c r="AF56" s="892">
        <f t="shared" si="6"/>
        <v>14.157973174366617</v>
      </c>
    </row>
    <row r="57" spans="1:32" ht="13.5" thickBot="1" x14ac:dyDescent="0.25">
      <c r="A57" s="893">
        <v>47</v>
      </c>
      <c r="B57" s="12" t="s">
        <v>1445</v>
      </c>
      <c r="C57" s="1"/>
      <c r="D57" s="1">
        <v>30</v>
      </c>
      <c r="E57" s="1"/>
      <c r="F57" s="1"/>
      <c r="G57" s="85" t="s">
        <v>308</v>
      </c>
      <c r="H57" s="885">
        <f t="shared" si="13"/>
        <v>1</v>
      </c>
      <c r="I57" s="1">
        <v>324</v>
      </c>
      <c r="J57" s="44"/>
      <c r="K57" s="886">
        <f t="shared" si="14"/>
        <v>1</v>
      </c>
      <c r="L57" s="1">
        <v>324</v>
      </c>
      <c r="M57" s="885">
        <f t="shared" si="15"/>
        <v>13.42</v>
      </c>
      <c r="N57" s="885">
        <v>10</v>
      </c>
      <c r="O57" s="1"/>
      <c r="P57" s="1">
        <v>1.7</v>
      </c>
      <c r="Q57" s="385" t="s">
        <v>978</v>
      </c>
      <c r="R57" s="226">
        <f t="shared" si="0"/>
        <v>2.5</v>
      </c>
      <c r="S57" s="251">
        <f>2.5*13.42</f>
        <v>33.549999999999997</v>
      </c>
      <c r="T57" s="18">
        <f>'PRECIOS INSUMOS 2015'!H$21</f>
        <v>12</v>
      </c>
      <c r="U57" s="202">
        <f t="shared" si="2"/>
        <v>30</v>
      </c>
      <c r="V57" s="885">
        <f t="shared" si="3"/>
        <v>7.4515648286140088E-2</v>
      </c>
      <c r="W57" s="894"/>
      <c r="X57" s="894">
        <f>I57/L57</f>
        <v>1</v>
      </c>
      <c r="Y57" s="885">
        <f t="shared" si="4"/>
        <v>5.9612518628912072</v>
      </c>
      <c r="Z57" s="224"/>
      <c r="AA57" s="224">
        <f>X57*P57*8</f>
        <v>13.6</v>
      </c>
      <c r="AB57" s="1"/>
      <c r="AC57" s="1"/>
      <c r="AD57" s="202">
        <f t="shared" si="5"/>
        <v>35.96125186289121</v>
      </c>
      <c r="AE57" s="295">
        <f t="shared" si="9"/>
        <v>13130.225117372142</v>
      </c>
      <c r="AF57" s="892">
        <f t="shared" si="6"/>
        <v>35.96125186289121</v>
      </c>
    </row>
    <row r="58" spans="1:32" ht="13.5" thickBot="1" x14ac:dyDescent="0.25">
      <c r="A58" s="893">
        <v>48</v>
      </c>
      <c r="B58" s="12" t="s">
        <v>365</v>
      </c>
      <c r="C58" s="1"/>
      <c r="D58" s="1">
        <v>32</v>
      </c>
      <c r="E58" s="1" t="s">
        <v>1419</v>
      </c>
      <c r="F58" s="1" t="s">
        <v>1420</v>
      </c>
      <c r="G58" s="85" t="s">
        <v>308</v>
      </c>
      <c r="H58" s="885">
        <f t="shared" si="13"/>
        <v>1</v>
      </c>
      <c r="I58" s="1">
        <v>324</v>
      </c>
      <c r="J58" s="44"/>
      <c r="K58" s="886">
        <f t="shared" si="14"/>
        <v>0.39506172839506171</v>
      </c>
      <c r="L58" s="1">
        <v>128</v>
      </c>
      <c r="M58" s="885">
        <f t="shared" si="15"/>
        <v>5.301728395061728</v>
      </c>
      <c r="N58" s="885">
        <v>10</v>
      </c>
      <c r="O58" s="1">
        <v>1.7</v>
      </c>
      <c r="P58" s="1"/>
      <c r="Q58" s="385" t="s">
        <v>283</v>
      </c>
      <c r="R58" s="226">
        <v>0.35</v>
      </c>
      <c r="S58" s="251">
        <v>3355</v>
      </c>
      <c r="T58" s="18">
        <v>18</v>
      </c>
      <c r="U58" s="202">
        <f t="shared" si="2"/>
        <v>6.3</v>
      </c>
      <c r="V58" s="885">
        <f t="shared" si="3"/>
        <v>0.18861773472429211</v>
      </c>
      <c r="W58" s="894">
        <f>I58/L58</f>
        <v>2.53125</v>
      </c>
      <c r="X58" s="894"/>
      <c r="Y58" s="885">
        <f t="shared" si="4"/>
        <v>15.089418777943369</v>
      </c>
      <c r="Z58" s="224">
        <f t="shared" si="8"/>
        <v>34.424999999999997</v>
      </c>
      <c r="AA58" s="224"/>
      <c r="AB58" s="1">
        <v>242.9</v>
      </c>
      <c r="AC58" s="1"/>
      <c r="AD58" s="202">
        <f t="shared" si="5"/>
        <v>21.389418777943369</v>
      </c>
      <c r="AE58" s="295">
        <f t="shared" si="9"/>
        <v>13151.614536150086</v>
      </c>
      <c r="AF58" s="892">
        <f t="shared" si="6"/>
        <v>21.389418777943369</v>
      </c>
    </row>
    <row r="59" spans="1:32" ht="13.5" thickBot="1" x14ac:dyDescent="0.25">
      <c r="A59" s="893">
        <v>49</v>
      </c>
      <c r="B59" s="12" t="s">
        <v>1433</v>
      </c>
      <c r="C59" s="1"/>
      <c r="D59" s="1">
        <v>32</v>
      </c>
      <c r="E59" s="1" t="s">
        <v>266</v>
      </c>
      <c r="F59" s="1" t="s">
        <v>1297</v>
      </c>
      <c r="G59" s="85" t="s">
        <v>308</v>
      </c>
      <c r="H59" s="885">
        <f t="shared" si="13"/>
        <v>1</v>
      </c>
      <c r="I59" s="1">
        <v>324</v>
      </c>
      <c r="J59" s="44"/>
      <c r="K59" s="886">
        <f t="shared" si="14"/>
        <v>3.7037037037037035E-2</v>
      </c>
      <c r="L59" s="1">
        <v>12</v>
      </c>
      <c r="M59" s="885">
        <v>1</v>
      </c>
      <c r="N59" s="885">
        <v>10</v>
      </c>
      <c r="O59" s="1"/>
      <c r="P59" s="1">
        <v>1.7</v>
      </c>
      <c r="Q59" s="385"/>
      <c r="R59" s="226">
        <f t="shared" si="0"/>
        <v>0</v>
      </c>
      <c r="S59" s="251"/>
      <c r="T59" s="933"/>
      <c r="U59" s="202">
        <f t="shared" si="2"/>
        <v>0</v>
      </c>
      <c r="V59" s="885">
        <f t="shared" si="3"/>
        <v>1</v>
      </c>
      <c r="W59" s="894"/>
      <c r="X59" s="894">
        <f>I59/L59</f>
        <v>27</v>
      </c>
      <c r="Y59" s="885">
        <f t="shared" si="4"/>
        <v>80</v>
      </c>
      <c r="Z59" s="224"/>
      <c r="AA59" s="224">
        <f>X59*P59*8</f>
        <v>367.2</v>
      </c>
      <c r="AB59" s="1"/>
      <c r="AC59" s="1"/>
      <c r="AD59" s="202">
        <f t="shared" si="5"/>
        <v>80</v>
      </c>
      <c r="AE59" s="295">
        <f t="shared" si="9"/>
        <v>13231.614536150086</v>
      </c>
      <c r="AF59" s="892">
        <f t="shared" si="6"/>
        <v>80</v>
      </c>
    </row>
    <row r="60" spans="1:32" ht="13.5" thickBot="1" x14ac:dyDescent="0.25">
      <c r="A60" s="893">
        <v>50</v>
      </c>
      <c r="B60" s="12" t="s">
        <v>1438</v>
      </c>
      <c r="C60" s="1"/>
      <c r="D60" s="1">
        <v>33</v>
      </c>
      <c r="E60" s="1" t="s">
        <v>1403</v>
      </c>
      <c r="F60" s="1" t="s">
        <v>1429</v>
      </c>
      <c r="G60" s="85" t="s">
        <v>308</v>
      </c>
      <c r="H60" s="885">
        <f t="shared" si="13"/>
        <v>1</v>
      </c>
      <c r="I60" s="1">
        <v>324</v>
      </c>
      <c r="J60" s="44"/>
      <c r="K60" s="886">
        <f t="shared" si="14"/>
        <v>1</v>
      </c>
      <c r="L60" s="1">
        <v>324</v>
      </c>
      <c r="M60" s="885">
        <f t="shared" si="15"/>
        <v>13.42</v>
      </c>
      <c r="N60" s="885">
        <v>10</v>
      </c>
      <c r="O60" s="1">
        <v>1.36</v>
      </c>
      <c r="P60" s="1"/>
      <c r="Q60" s="385" t="s">
        <v>234</v>
      </c>
      <c r="R60" s="226">
        <f t="shared" si="0"/>
        <v>4.0983606557377046</v>
      </c>
      <c r="S60" s="251">
        <v>55</v>
      </c>
      <c r="T60" s="202">
        <f>'PRECIOS INSUMOS 2015'!C$5</f>
        <v>2</v>
      </c>
      <c r="U60" s="202">
        <f t="shared" si="2"/>
        <v>8.1967213114754092</v>
      </c>
      <c r="V60" s="885">
        <f t="shared" si="3"/>
        <v>7.4515648286140088E-2</v>
      </c>
      <c r="W60" s="894">
        <f>I60/L60</f>
        <v>1</v>
      </c>
      <c r="X60" s="894"/>
      <c r="Y60" s="885">
        <f t="shared" si="4"/>
        <v>5.9612518628912072</v>
      </c>
      <c r="Z60" s="224">
        <f t="shared" si="8"/>
        <v>10.88</v>
      </c>
      <c r="AA60" s="224"/>
      <c r="AB60" s="1"/>
      <c r="AC60" s="1"/>
      <c r="AD60" s="202">
        <f t="shared" si="5"/>
        <v>14.157973174366617</v>
      </c>
      <c r="AE60" s="295">
        <f t="shared" si="9"/>
        <v>13245.772509324452</v>
      </c>
      <c r="AF60" s="892">
        <f t="shared" si="6"/>
        <v>14.157973174366617</v>
      </c>
    </row>
    <row r="61" spans="1:32" ht="13.5" thickBot="1" x14ac:dyDescent="0.25">
      <c r="A61" s="893">
        <v>51</v>
      </c>
      <c r="B61" s="12" t="s">
        <v>1439</v>
      </c>
      <c r="C61" s="1"/>
      <c r="D61" s="1">
        <v>33</v>
      </c>
      <c r="E61" s="1"/>
      <c r="F61" s="1"/>
      <c r="G61" s="85" t="s">
        <v>308</v>
      </c>
      <c r="H61" s="226">
        <f>I61/324</f>
        <v>1</v>
      </c>
      <c r="I61" s="1">
        <v>324</v>
      </c>
      <c r="J61" s="1"/>
      <c r="K61" s="908">
        <f>L61/324</f>
        <v>1</v>
      </c>
      <c r="L61" s="1">
        <v>324</v>
      </c>
      <c r="M61" s="885">
        <f t="shared" si="15"/>
        <v>13.42</v>
      </c>
      <c r="N61" s="885">
        <v>10</v>
      </c>
      <c r="O61" s="1"/>
      <c r="P61" s="1">
        <v>1.7</v>
      </c>
      <c r="Q61" s="385" t="s">
        <v>1446</v>
      </c>
      <c r="R61" s="226">
        <f t="shared" si="0"/>
        <v>2</v>
      </c>
      <c r="S61" s="251">
        <f>2*13.42</f>
        <v>26.84</v>
      </c>
      <c r="T61" s="18">
        <f>'PRECIOS INSUMOS 2015'!H$30</f>
        <v>8.9499999999999993</v>
      </c>
      <c r="U61" s="202">
        <f t="shared" si="2"/>
        <v>17.899999999999999</v>
      </c>
      <c r="V61" s="885">
        <f t="shared" si="3"/>
        <v>7.4515648286140088E-2</v>
      </c>
      <c r="W61" s="894"/>
      <c r="X61" s="894">
        <f>I61/L61</f>
        <v>1</v>
      </c>
      <c r="Y61" s="885">
        <f t="shared" si="4"/>
        <v>5.9612518628912072</v>
      </c>
      <c r="Z61" s="224"/>
      <c r="AA61" s="224">
        <f>X61*P61*8</f>
        <v>13.6</v>
      </c>
      <c r="AB61" s="1"/>
      <c r="AC61" s="1"/>
      <c r="AD61" s="202">
        <f t="shared" si="5"/>
        <v>23.861251862891205</v>
      </c>
      <c r="AE61" s="295">
        <f t="shared" si="9"/>
        <v>13269.633761187342</v>
      </c>
      <c r="AF61" s="892">
        <f t="shared" si="6"/>
        <v>23.861251862891205</v>
      </c>
    </row>
    <row r="62" spans="1:32" ht="13.5" thickBot="1" x14ac:dyDescent="0.25">
      <c r="A62" s="893">
        <v>52</v>
      </c>
      <c r="B62" s="12" t="s">
        <v>1444</v>
      </c>
      <c r="C62" s="1"/>
      <c r="D62" s="1">
        <v>35</v>
      </c>
      <c r="E62" s="1" t="s">
        <v>1403</v>
      </c>
      <c r="F62" s="1" t="s">
        <v>1429</v>
      </c>
      <c r="G62" s="85" t="s">
        <v>308</v>
      </c>
      <c r="H62" s="885">
        <f t="shared" ref="H62:H125" si="16">I62/324</f>
        <v>1</v>
      </c>
      <c r="I62" s="1">
        <v>324</v>
      </c>
      <c r="J62" s="44"/>
      <c r="K62" s="886">
        <f t="shared" ref="K62:K125" si="17">L62/324</f>
        <v>1</v>
      </c>
      <c r="L62" s="1">
        <v>324</v>
      </c>
      <c r="M62" s="885">
        <f t="shared" si="15"/>
        <v>13.42</v>
      </c>
      <c r="N62" s="885">
        <v>10</v>
      </c>
      <c r="O62" s="1">
        <v>1.36</v>
      </c>
      <c r="P62" s="1"/>
      <c r="Q62" s="385" t="s">
        <v>234</v>
      </c>
      <c r="R62" s="226">
        <f t="shared" si="0"/>
        <v>4.0983606557377046</v>
      </c>
      <c r="S62" s="251">
        <v>55</v>
      </c>
      <c r="T62" s="202">
        <f>'PRECIOS INSUMOS 2015'!C$5</f>
        <v>2</v>
      </c>
      <c r="U62" s="202">
        <f t="shared" si="2"/>
        <v>8.1967213114754092</v>
      </c>
      <c r="V62" s="885">
        <f t="shared" si="3"/>
        <v>7.4515648286140088E-2</v>
      </c>
      <c r="W62" s="894">
        <f>I62/L62</f>
        <v>1</v>
      </c>
      <c r="X62" s="894"/>
      <c r="Y62" s="885">
        <f t="shared" si="4"/>
        <v>5.9612518628912072</v>
      </c>
      <c r="Z62" s="224">
        <f t="shared" si="8"/>
        <v>10.88</v>
      </c>
      <c r="AA62" s="224"/>
      <c r="AB62" s="1"/>
      <c r="AC62" s="1"/>
      <c r="AD62" s="202">
        <f t="shared" si="5"/>
        <v>14.157973174366617</v>
      </c>
      <c r="AE62" s="295">
        <f t="shared" si="9"/>
        <v>13283.791734361708</v>
      </c>
      <c r="AF62" s="892">
        <f t="shared" si="6"/>
        <v>14.157973174366617</v>
      </c>
    </row>
    <row r="63" spans="1:32" ht="13.5" thickBot="1" x14ac:dyDescent="0.25">
      <c r="A63" s="893">
        <v>53</v>
      </c>
      <c r="B63" s="12" t="s">
        <v>1445</v>
      </c>
      <c r="C63" s="1"/>
      <c r="D63" s="1">
        <v>35</v>
      </c>
      <c r="E63" s="1"/>
      <c r="F63" s="1"/>
      <c r="G63" s="85" t="s">
        <v>308</v>
      </c>
      <c r="H63" s="885">
        <f t="shared" si="16"/>
        <v>1</v>
      </c>
      <c r="I63" s="1">
        <v>324</v>
      </c>
      <c r="J63" s="44"/>
      <c r="K63" s="886">
        <f t="shared" si="17"/>
        <v>1</v>
      </c>
      <c r="L63" s="1">
        <v>324</v>
      </c>
      <c r="M63" s="885">
        <f t="shared" si="15"/>
        <v>13.42</v>
      </c>
      <c r="N63" s="885">
        <v>10</v>
      </c>
      <c r="O63" s="1"/>
      <c r="P63" s="1">
        <v>1.7</v>
      </c>
      <c r="Q63" s="385" t="s">
        <v>978</v>
      </c>
      <c r="R63" s="226">
        <f t="shared" si="0"/>
        <v>2.5</v>
      </c>
      <c r="S63" s="251">
        <f>2.5*13.42</f>
        <v>33.549999999999997</v>
      </c>
      <c r="T63" s="18">
        <f>'PRECIOS INSUMOS 2015'!H$21</f>
        <v>12</v>
      </c>
      <c r="U63" s="202">
        <f t="shared" si="2"/>
        <v>30</v>
      </c>
      <c r="V63" s="885">
        <f t="shared" si="3"/>
        <v>7.4515648286140088E-2</v>
      </c>
      <c r="W63" s="894"/>
      <c r="X63" s="894">
        <v>1</v>
      </c>
      <c r="Y63" s="885">
        <f t="shared" si="4"/>
        <v>5.9612518628912072</v>
      </c>
      <c r="Z63" s="224"/>
      <c r="AA63" s="224">
        <f>X63*P63*8</f>
        <v>13.6</v>
      </c>
      <c r="AB63" s="1"/>
      <c r="AC63" s="1"/>
      <c r="AD63" s="202">
        <f t="shared" si="5"/>
        <v>35.96125186289121</v>
      </c>
      <c r="AE63" s="295">
        <f t="shared" si="9"/>
        <v>13319.752986224599</v>
      </c>
      <c r="AF63" s="892">
        <f t="shared" si="6"/>
        <v>35.96125186289121</v>
      </c>
    </row>
    <row r="64" spans="1:32" ht="13.5" thickBot="1" x14ac:dyDescent="0.25">
      <c r="A64" s="893">
        <v>54</v>
      </c>
      <c r="B64" s="12" t="s">
        <v>365</v>
      </c>
      <c r="C64" s="1"/>
      <c r="D64" s="1">
        <v>37</v>
      </c>
      <c r="E64" s="1" t="s">
        <v>1419</v>
      </c>
      <c r="F64" s="1" t="s">
        <v>1420</v>
      </c>
      <c r="G64" s="85" t="s">
        <v>308</v>
      </c>
      <c r="H64" s="885">
        <f t="shared" si="16"/>
        <v>1</v>
      </c>
      <c r="I64" s="1">
        <v>324</v>
      </c>
      <c r="J64" s="44"/>
      <c r="K64" s="886">
        <f t="shared" si="17"/>
        <v>0.39506172839506171</v>
      </c>
      <c r="L64" s="1">
        <v>128</v>
      </c>
      <c r="M64" s="885">
        <f t="shared" si="15"/>
        <v>5.301728395061728</v>
      </c>
      <c r="N64" s="885">
        <v>10</v>
      </c>
      <c r="O64" s="1">
        <v>1.7</v>
      </c>
      <c r="P64" s="1"/>
      <c r="Q64" s="385" t="s">
        <v>283</v>
      </c>
      <c r="R64" s="226">
        <v>0.35</v>
      </c>
      <c r="S64" s="251">
        <v>3355</v>
      </c>
      <c r="T64" s="18">
        <v>18</v>
      </c>
      <c r="U64" s="202">
        <f t="shared" si="2"/>
        <v>6.3</v>
      </c>
      <c r="V64" s="885">
        <f t="shared" si="3"/>
        <v>0.18861773472429211</v>
      </c>
      <c r="W64" s="894">
        <f>I64/L64</f>
        <v>2.53125</v>
      </c>
      <c r="X64" s="894"/>
      <c r="Y64" s="885">
        <f t="shared" si="4"/>
        <v>15.089418777943369</v>
      </c>
      <c r="Z64" s="224">
        <f t="shared" si="8"/>
        <v>34.424999999999997</v>
      </c>
      <c r="AA64" s="224"/>
      <c r="AB64" s="1">
        <v>242.9</v>
      </c>
      <c r="AC64" s="1"/>
      <c r="AD64" s="202">
        <f t="shared" si="5"/>
        <v>21.389418777943369</v>
      </c>
      <c r="AE64" s="295">
        <f t="shared" si="9"/>
        <v>13341.142405002543</v>
      </c>
      <c r="AF64" s="892">
        <f t="shared" si="6"/>
        <v>21.389418777943369</v>
      </c>
    </row>
    <row r="65" spans="1:32" ht="13.5" thickBot="1" x14ac:dyDescent="0.25">
      <c r="A65" s="893">
        <v>55</v>
      </c>
      <c r="B65" s="12" t="s">
        <v>1433</v>
      </c>
      <c r="C65" s="1"/>
      <c r="D65" s="1">
        <v>37</v>
      </c>
      <c r="E65" s="1" t="s">
        <v>266</v>
      </c>
      <c r="F65" s="1" t="s">
        <v>1297</v>
      </c>
      <c r="G65" s="85" t="s">
        <v>308</v>
      </c>
      <c r="H65" s="885">
        <f t="shared" si="16"/>
        <v>1</v>
      </c>
      <c r="I65" s="1">
        <v>324</v>
      </c>
      <c r="J65" s="44"/>
      <c r="K65" s="886">
        <f t="shared" si="17"/>
        <v>3.7037037037037035E-2</v>
      </c>
      <c r="L65" s="1">
        <v>12</v>
      </c>
      <c r="M65" s="885">
        <v>1</v>
      </c>
      <c r="N65" s="885">
        <v>10</v>
      </c>
      <c r="O65" s="1"/>
      <c r="P65" s="1">
        <v>1.7</v>
      </c>
      <c r="Q65" s="385"/>
      <c r="R65" s="226">
        <f t="shared" si="0"/>
        <v>0</v>
      </c>
      <c r="S65" s="251"/>
      <c r="T65" s="57"/>
      <c r="U65" s="202">
        <f t="shared" si="2"/>
        <v>0</v>
      </c>
      <c r="V65" s="885">
        <f t="shared" si="3"/>
        <v>1</v>
      </c>
      <c r="W65" s="894"/>
      <c r="X65" s="894">
        <f>I65/L65</f>
        <v>27</v>
      </c>
      <c r="Y65" s="885">
        <f t="shared" si="4"/>
        <v>80</v>
      </c>
      <c r="Z65" s="224"/>
      <c r="AA65" s="224">
        <f>X65*P65*8</f>
        <v>367.2</v>
      </c>
      <c r="AB65" s="1"/>
      <c r="AC65" s="1"/>
      <c r="AD65" s="202">
        <f t="shared" si="5"/>
        <v>80</v>
      </c>
      <c r="AE65" s="295">
        <f t="shared" si="9"/>
        <v>13421.142405002543</v>
      </c>
      <c r="AF65" s="892">
        <f t="shared" si="6"/>
        <v>80</v>
      </c>
    </row>
    <row r="66" spans="1:32" ht="13.5" thickBot="1" x14ac:dyDescent="0.25">
      <c r="A66" s="893">
        <v>57</v>
      </c>
      <c r="B66" s="12" t="s">
        <v>1438</v>
      </c>
      <c r="C66" s="1"/>
      <c r="D66" s="1">
        <v>38</v>
      </c>
      <c r="E66" s="1" t="s">
        <v>1403</v>
      </c>
      <c r="F66" s="1" t="s">
        <v>1429</v>
      </c>
      <c r="G66" s="85" t="s">
        <v>308</v>
      </c>
      <c r="H66" s="885">
        <f t="shared" si="16"/>
        <v>1</v>
      </c>
      <c r="I66" s="1">
        <v>324</v>
      </c>
      <c r="J66" s="44"/>
      <c r="K66" s="886">
        <f t="shared" si="17"/>
        <v>1</v>
      </c>
      <c r="L66" s="1">
        <v>324</v>
      </c>
      <c r="M66" s="885">
        <f t="shared" si="15"/>
        <v>13.42</v>
      </c>
      <c r="N66" s="885">
        <v>10</v>
      </c>
      <c r="O66" s="1">
        <v>1.36</v>
      </c>
      <c r="P66" s="1"/>
      <c r="Q66" s="385" t="s">
        <v>234</v>
      </c>
      <c r="R66" s="226">
        <f t="shared" si="0"/>
        <v>4.0983606557377046</v>
      </c>
      <c r="S66" s="251">
        <v>55</v>
      </c>
      <c r="T66" s="202">
        <f>'PRECIOS INSUMOS 2015'!C$5</f>
        <v>2</v>
      </c>
      <c r="U66" s="202">
        <f t="shared" si="2"/>
        <v>8.1967213114754092</v>
      </c>
      <c r="V66" s="885">
        <f t="shared" si="3"/>
        <v>7.4515648286140088E-2</v>
      </c>
      <c r="W66" s="894">
        <f>I66/L66</f>
        <v>1</v>
      </c>
      <c r="X66" s="894"/>
      <c r="Y66" s="885">
        <f t="shared" si="4"/>
        <v>5.9612518628912072</v>
      </c>
      <c r="Z66" s="224">
        <f t="shared" si="8"/>
        <v>10.88</v>
      </c>
      <c r="AA66" s="224"/>
      <c r="AB66" s="1"/>
      <c r="AC66" s="1"/>
      <c r="AD66" s="202">
        <f t="shared" si="5"/>
        <v>14.157973174366617</v>
      </c>
      <c r="AE66" s="295">
        <f>AE65+AD66</f>
        <v>13435.300378176909</v>
      </c>
      <c r="AF66" s="892">
        <f t="shared" si="6"/>
        <v>14.157973174366617</v>
      </c>
    </row>
    <row r="67" spans="1:32" ht="13.5" thickBot="1" x14ac:dyDescent="0.25">
      <c r="A67" s="893">
        <v>58</v>
      </c>
      <c r="B67" s="12" t="s">
        <v>1439</v>
      </c>
      <c r="C67" s="1"/>
      <c r="D67" s="1">
        <v>38</v>
      </c>
      <c r="E67" s="1"/>
      <c r="F67" s="1"/>
      <c r="G67" s="85" t="s">
        <v>308</v>
      </c>
      <c r="H67" s="885">
        <f t="shared" si="16"/>
        <v>1</v>
      </c>
      <c r="I67" s="1">
        <v>324</v>
      </c>
      <c r="J67" s="44"/>
      <c r="K67" s="886">
        <f t="shared" si="17"/>
        <v>1</v>
      </c>
      <c r="L67" s="1">
        <v>324</v>
      </c>
      <c r="M67" s="885">
        <f t="shared" si="15"/>
        <v>13.42</v>
      </c>
      <c r="N67" s="885">
        <v>10</v>
      </c>
      <c r="O67" s="1"/>
      <c r="P67" s="1">
        <v>1.7</v>
      </c>
      <c r="Q67" s="385" t="s">
        <v>1447</v>
      </c>
      <c r="R67" s="226">
        <f t="shared" si="0"/>
        <v>2</v>
      </c>
      <c r="S67" s="251">
        <f>2*13.42</f>
        <v>26.84</v>
      </c>
      <c r="T67" s="18">
        <f>'PRECIOS INSUMOS 2015'!H30</f>
        <v>8.9499999999999993</v>
      </c>
      <c r="U67" s="202">
        <f t="shared" si="2"/>
        <v>17.899999999999999</v>
      </c>
      <c r="V67" s="885">
        <f t="shared" si="3"/>
        <v>7.4515648286140088E-2</v>
      </c>
      <c r="W67" s="894"/>
      <c r="X67" s="894">
        <f>I67/L67</f>
        <v>1</v>
      </c>
      <c r="Y67" s="885">
        <f t="shared" si="4"/>
        <v>5.9612518628912072</v>
      </c>
      <c r="Z67" s="224"/>
      <c r="AA67" s="224">
        <f>X67*P67*8</f>
        <v>13.6</v>
      </c>
      <c r="AB67" s="1"/>
      <c r="AC67" s="1"/>
      <c r="AD67" s="202">
        <f t="shared" si="5"/>
        <v>23.861251862891205</v>
      </c>
      <c r="AE67" s="295">
        <f t="shared" si="9"/>
        <v>13459.1616300398</v>
      </c>
      <c r="AF67" s="892">
        <f t="shared" si="6"/>
        <v>23.861251862891205</v>
      </c>
    </row>
    <row r="68" spans="1:32" ht="13.5" thickBot="1" x14ac:dyDescent="0.25">
      <c r="A68" s="893">
        <v>59</v>
      </c>
      <c r="B68" s="12" t="s">
        <v>1443</v>
      </c>
      <c r="C68" s="1"/>
      <c r="D68" s="1">
        <v>40</v>
      </c>
      <c r="E68" s="1" t="s">
        <v>266</v>
      </c>
      <c r="F68" s="1" t="s">
        <v>266</v>
      </c>
      <c r="G68" s="85" t="s">
        <v>308</v>
      </c>
      <c r="H68" s="885">
        <f t="shared" si="16"/>
        <v>1</v>
      </c>
      <c r="I68" s="1">
        <v>324</v>
      </c>
      <c r="J68" s="44"/>
      <c r="K68" s="886">
        <f t="shared" si="17"/>
        <v>1.8518518518518517E-2</v>
      </c>
      <c r="L68" s="1">
        <v>6</v>
      </c>
      <c r="M68" s="885">
        <v>0.5</v>
      </c>
      <c r="N68" s="885">
        <v>10</v>
      </c>
      <c r="O68" s="1"/>
      <c r="P68" s="1">
        <v>1.7</v>
      </c>
      <c r="Q68" s="385"/>
      <c r="R68" s="226">
        <f t="shared" si="0"/>
        <v>0</v>
      </c>
      <c r="S68" s="251"/>
      <c r="T68" s="18"/>
      <c r="U68" s="202">
        <f t="shared" si="2"/>
        <v>0</v>
      </c>
      <c r="V68" s="885">
        <f t="shared" si="3"/>
        <v>2</v>
      </c>
      <c r="W68" s="894"/>
      <c r="X68" s="894">
        <f>I68/L68</f>
        <v>54</v>
      </c>
      <c r="Y68" s="885">
        <f t="shared" si="4"/>
        <v>160</v>
      </c>
      <c r="Z68" s="224"/>
      <c r="AA68" s="224">
        <f>X68*P68*8</f>
        <v>734.4</v>
      </c>
      <c r="AB68" s="1"/>
      <c r="AC68" s="1"/>
      <c r="AD68" s="202">
        <f t="shared" si="5"/>
        <v>160</v>
      </c>
      <c r="AE68" s="295">
        <f t="shared" si="9"/>
        <v>13619.1616300398</v>
      </c>
      <c r="AF68" s="892">
        <f t="shared" si="6"/>
        <v>160</v>
      </c>
    </row>
    <row r="69" spans="1:32" ht="13.5" thickBot="1" x14ac:dyDescent="0.25">
      <c r="A69" s="893">
        <v>60</v>
      </c>
      <c r="B69" s="12" t="s">
        <v>1444</v>
      </c>
      <c r="C69" s="1"/>
      <c r="D69" s="1">
        <v>40</v>
      </c>
      <c r="E69" s="1" t="s">
        <v>1403</v>
      </c>
      <c r="F69" s="1" t="s">
        <v>1429</v>
      </c>
      <c r="G69" s="85" t="s">
        <v>308</v>
      </c>
      <c r="H69" s="885">
        <f t="shared" si="16"/>
        <v>1</v>
      </c>
      <c r="I69" s="1">
        <v>324</v>
      </c>
      <c r="J69" s="44"/>
      <c r="K69" s="886">
        <f t="shared" si="17"/>
        <v>1</v>
      </c>
      <c r="L69" s="1">
        <v>324</v>
      </c>
      <c r="M69" s="885">
        <f t="shared" si="15"/>
        <v>13.42</v>
      </c>
      <c r="N69" s="885">
        <v>10</v>
      </c>
      <c r="O69" s="1">
        <v>1.36</v>
      </c>
      <c r="P69" s="1"/>
      <c r="Q69" s="385" t="s">
        <v>234</v>
      </c>
      <c r="R69" s="226">
        <f t="shared" si="0"/>
        <v>4.0983606557377046</v>
      </c>
      <c r="S69" s="251">
        <v>55</v>
      </c>
      <c r="T69" s="202">
        <f>'PRECIOS INSUMOS 2015'!C$5</f>
        <v>2</v>
      </c>
      <c r="U69" s="202">
        <f t="shared" si="2"/>
        <v>8.1967213114754092</v>
      </c>
      <c r="V69" s="885">
        <f t="shared" si="3"/>
        <v>7.4515648286140088E-2</v>
      </c>
      <c r="W69" s="894">
        <f>I69/L69</f>
        <v>1</v>
      </c>
      <c r="X69" s="894"/>
      <c r="Y69" s="885">
        <f t="shared" si="4"/>
        <v>5.9612518628912072</v>
      </c>
      <c r="Z69" s="224">
        <f t="shared" si="8"/>
        <v>10.88</v>
      </c>
      <c r="AA69" s="224"/>
      <c r="AB69" s="1"/>
      <c r="AC69" s="1"/>
      <c r="AD69" s="202">
        <f t="shared" si="5"/>
        <v>14.157973174366617</v>
      </c>
      <c r="AE69" s="295">
        <f t="shared" si="9"/>
        <v>13633.319603214166</v>
      </c>
      <c r="AF69" s="892">
        <f t="shared" si="6"/>
        <v>14.157973174366617</v>
      </c>
    </row>
    <row r="70" spans="1:32" ht="13.5" thickBot="1" x14ac:dyDescent="0.25">
      <c r="A70" s="893">
        <v>61</v>
      </c>
      <c r="B70" s="12" t="s">
        <v>1445</v>
      </c>
      <c r="C70" s="1"/>
      <c r="D70" s="1">
        <v>40</v>
      </c>
      <c r="E70" s="1"/>
      <c r="F70" s="1"/>
      <c r="G70" s="85" t="s">
        <v>308</v>
      </c>
      <c r="H70" s="885">
        <f t="shared" si="16"/>
        <v>1</v>
      </c>
      <c r="I70" s="1">
        <v>324</v>
      </c>
      <c r="J70" s="44"/>
      <c r="K70" s="886">
        <f t="shared" si="17"/>
        <v>1</v>
      </c>
      <c r="L70" s="1">
        <v>324</v>
      </c>
      <c r="M70" s="885">
        <f t="shared" si="15"/>
        <v>13.42</v>
      </c>
      <c r="N70" s="885">
        <v>10</v>
      </c>
      <c r="O70" s="1"/>
      <c r="P70" s="1">
        <v>1.7</v>
      </c>
      <c r="Q70" s="385" t="s">
        <v>978</v>
      </c>
      <c r="R70" s="226">
        <f t="shared" si="0"/>
        <v>2.5</v>
      </c>
      <c r="S70" s="251">
        <f>2.5*13.42</f>
        <v>33.549999999999997</v>
      </c>
      <c r="T70" s="18">
        <f>'PRECIOS INSUMOS 2015'!H$21</f>
        <v>12</v>
      </c>
      <c r="U70" s="202">
        <f t="shared" si="2"/>
        <v>30</v>
      </c>
      <c r="V70" s="885">
        <f t="shared" si="3"/>
        <v>7.4515648286140088E-2</v>
      </c>
      <c r="W70" s="894"/>
      <c r="X70" s="894">
        <v>1</v>
      </c>
      <c r="Y70" s="885">
        <f t="shared" si="4"/>
        <v>5.9612518628912072</v>
      </c>
      <c r="Z70" s="224"/>
      <c r="AA70" s="224">
        <f>X70*P70*8</f>
        <v>13.6</v>
      </c>
      <c r="AB70" s="1"/>
      <c r="AC70" s="1"/>
      <c r="AD70" s="202">
        <f t="shared" si="5"/>
        <v>35.96125186289121</v>
      </c>
      <c r="AE70" s="295">
        <f t="shared" si="9"/>
        <v>13669.280855077057</v>
      </c>
      <c r="AF70" s="892">
        <f t="shared" si="6"/>
        <v>35.96125186289121</v>
      </c>
    </row>
    <row r="71" spans="1:32" ht="13.5" thickBot="1" x14ac:dyDescent="0.25">
      <c r="A71" s="893">
        <v>62</v>
      </c>
      <c r="B71" s="12" t="s">
        <v>1448</v>
      </c>
      <c r="C71" s="1"/>
      <c r="D71" s="1">
        <v>40</v>
      </c>
      <c r="E71" s="85" t="s">
        <v>1403</v>
      </c>
      <c r="F71" s="1" t="s">
        <v>1429</v>
      </c>
      <c r="G71" s="85" t="s">
        <v>308</v>
      </c>
      <c r="H71" s="885">
        <f t="shared" si="16"/>
        <v>1</v>
      </c>
      <c r="I71" s="1">
        <v>324</v>
      </c>
      <c r="J71" s="44"/>
      <c r="K71" s="886">
        <f t="shared" si="17"/>
        <v>1</v>
      </c>
      <c r="L71" s="1">
        <v>324</v>
      </c>
      <c r="M71" s="885">
        <f t="shared" si="15"/>
        <v>13.42</v>
      </c>
      <c r="N71" s="885">
        <v>10</v>
      </c>
      <c r="O71" s="1">
        <v>1.36</v>
      </c>
      <c r="P71" s="1"/>
      <c r="Q71" s="385" t="s">
        <v>234</v>
      </c>
      <c r="R71" s="226">
        <f t="shared" si="0"/>
        <v>4.0983606557377046</v>
      </c>
      <c r="S71" s="251">
        <v>55</v>
      </c>
      <c r="T71" s="202">
        <f>'PRECIOS INSUMOS 2015'!C$5</f>
        <v>2</v>
      </c>
      <c r="U71" s="202">
        <f t="shared" si="2"/>
        <v>8.1967213114754092</v>
      </c>
      <c r="V71" s="885">
        <f t="shared" si="3"/>
        <v>7.4515648286140088E-2</v>
      </c>
      <c r="W71" s="894">
        <f>I71/L71</f>
        <v>1</v>
      </c>
      <c r="X71" s="894"/>
      <c r="Y71" s="885">
        <f t="shared" si="4"/>
        <v>5.9612518628912072</v>
      </c>
      <c r="Z71" s="224">
        <f t="shared" si="8"/>
        <v>10.88</v>
      </c>
      <c r="AA71" s="224"/>
      <c r="AB71" s="1"/>
      <c r="AC71" s="1"/>
      <c r="AD71" s="202">
        <f t="shared" si="5"/>
        <v>14.157973174366617</v>
      </c>
      <c r="AE71" s="295">
        <f t="shared" si="9"/>
        <v>13683.438828251423</v>
      </c>
      <c r="AF71" s="892">
        <f t="shared" si="6"/>
        <v>14.157973174366617</v>
      </c>
    </row>
    <row r="72" spans="1:32" ht="13.5" thickBot="1" x14ac:dyDescent="0.25">
      <c r="A72" s="893">
        <v>63</v>
      </c>
      <c r="B72" s="12" t="s">
        <v>1449</v>
      </c>
      <c r="C72" s="1"/>
      <c r="D72" s="1">
        <v>40</v>
      </c>
      <c r="E72" s="1"/>
      <c r="F72" s="1"/>
      <c r="G72" s="85" t="s">
        <v>308</v>
      </c>
      <c r="H72" s="885">
        <f t="shared" si="16"/>
        <v>1</v>
      </c>
      <c r="I72" s="1">
        <v>324</v>
      </c>
      <c r="J72" s="44"/>
      <c r="K72" s="886">
        <f t="shared" si="17"/>
        <v>1</v>
      </c>
      <c r="L72" s="1">
        <v>324</v>
      </c>
      <c r="M72" s="885">
        <f t="shared" si="15"/>
        <v>13.42</v>
      </c>
      <c r="N72" s="885">
        <v>10</v>
      </c>
      <c r="O72" s="1"/>
      <c r="P72" s="1">
        <v>1.7</v>
      </c>
      <c r="Q72" s="385" t="s">
        <v>979</v>
      </c>
      <c r="R72" s="226">
        <f t="shared" si="0"/>
        <v>2</v>
      </c>
      <c r="S72" s="251">
        <f>2*13.42</f>
        <v>26.84</v>
      </c>
      <c r="T72" s="18">
        <f>'PRECIOS INSUMOS 2015'!H13</f>
        <v>3.62</v>
      </c>
      <c r="U72" s="202">
        <f t="shared" si="2"/>
        <v>7.24</v>
      </c>
      <c r="V72" s="885">
        <f t="shared" si="3"/>
        <v>7.4515648286140088E-2</v>
      </c>
      <c r="W72" s="894"/>
      <c r="X72" s="894">
        <v>1</v>
      </c>
      <c r="Y72" s="885">
        <f t="shared" si="4"/>
        <v>5.9612518628912072</v>
      </c>
      <c r="Z72" s="224"/>
      <c r="AA72" s="224">
        <f>X72*P72*8</f>
        <v>13.6</v>
      </c>
      <c r="AB72" s="1"/>
      <c r="AC72" s="1"/>
      <c r="AD72" s="202">
        <f t="shared" si="5"/>
        <v>13.201251862891208</v>
      </c>
      <c r="AE72" s="295">
        <f t="shared" si="9"/>
        <v>13696.640080114314</v>
      </c>
      <c r="AF72" s="892">
        <f t="shared" si="6"/>
        <v>13.201251862891208</v>
      </c>
    </row>
    <row r="73" spans="1:32" ht="13.5" thickBot="1" x14ac:dyDescent="0.25">
      <c r="A73" s="893">
        <v>64</v>
      </c>
      <c r="B73" s="12" t="s">
        <v>1434</v>
      </c>
      <c r="C73" s="1"/>
      <c r="D73" s="1">
        <v>42</v>
      </c>
      <c r="E73" s="85" t="s">
        <v>1403</v>
      </c>
      <c r="F73" s="1" t="s">
        <v>1429</v>
      </c>
      <c r="G73" s="85" t="s">
        <v>308</v>
      </c>
      <c r="H73" s="885">
        <f t="shared" si="16"/>
        <v>1</v>
      </c>
      <c r="I73" s="1">
        <v>324</v>
      </c>
      <c r="J73" s="44"/>
      <c r="K73" s="886">
        <f t="shared" si="17"/>
        <v>1</v>
      </c>
      <c r="L73" s="1">
        <v>324</v>
      </c>
      <c r="M73" s="885">
        <f t="shared" si="15"/>
        <v>13.42</v>
      </c>
      <c r="N73" s="885">
        <v>10</v>
      </c>
      <c r="O73" s="1">
        <v>1.36</v>
      </c>
      <c r="P73" s="1"/>
      <c r="Q73" s="385" t="s">
        <v>234</v>
      </c>
      <c r="R73" s="226">
        <f t="shared" si="0"/>
        <v>4.0983606557377046</v>
      </c>
      <c r="S73" s="251">
        <v>55</v>
      </c>
      <c r="T73" s="202">
        <f>'PRECIOS INSUMOS 2015'!C$5</f>
        <v>2</v>
      </c>
      <c r="U73" s="202">
        <f t="shared" si="2"/>
        <v>8.1967213114754092</v>
      </c>
      <c r="V73" s="885">
        <f t="shared" si="3"/>
        <v>7.4515648286140088E-2</v>
      </c>
      <c r="W73" s="894">
        <f>I73/L73</f>
        <v>1</v>
      </c>
      <c r="X73" s="894"/>
      <c r="Y73" s="885">
        <f t="shared" si="4"/>
        <v>5.9612518628912072</v>
      </c>
      <c r="Z73" s="224">
        <f t="shared" si="8"/>
        <v>10.88</v>
      </c>
      <c r="AA73" s="224"/>
      <c r="AB73" s="1"/>
      <c r="AC73" s="1"/>
      <c r="AD73" s="202">
        <f t="shared" si="5"/>
        <v>14.157973174366617</v>
      </c>
      <c r="AE73" s="295">
        <f t="shared" si="9"/>
        <v>13710.79805328868</v>
      </c>
      <c r="AF73" s="892">
        <f t="shared" si="6"/>
        <v>14.157973174366617</v>
      </c>
    </row>
    <row r="74" spans="1:32" ht="13.5" thickBot="1" x14ac:dyDescent="0.25">
      <c r="A74" s="893">
        <v>65</v>
      </c>
      <c r="B74" s="12" t="s">
        <v>1435</v>
      </c>
      <c r="C74" s="1"/>
      <c r="D74" s="1">
        <v>42</v>
      </c>
      <c r="E74" s="1"/>
      <c r="F74" s="1"/>
      <c r="G74" s="85" t="s">
        <v>308</v>
      </c>
      <c r="H74" s="885">
        <f t="shared" si="16"/>
        <v>1</v>
      </c>
      <c r="I74" s="1">
        <v>324</v>
      </c>
      <c r="J74" s="44"/>
      <c r="K74" s="886">
        <f t="shared" si="17"/>
        <v>1</v>
      </c>
      <c r="L74" s="1">
        <v>324</v>
      </c>
      <c r="M74" s="885">
        <f t="shared" si="15"/>
        <v>13.42</v>
      </c>
      <c r="N74" s="885">
        <v>10</v>
      </c>
      <c r="O74" s="1"/>
      <c r="P74" s="1">
        <v>1.7</v>
      </c>
      <c r="Q74" s="385" t="s">
        <v>439</v>
      </c>
      <c r="R74" s="226">
        <f t="shared" si="0"/>
        <v>3</v>
      </c>
      <c r="S74" s="251">
        <f>3*13.42</f>
        <v>40.26</v>
      </c>
      <c r="T74" s="18">
        <f>'PRECIOS INSUMOS 2015'!H$17</f>
        <v>43</v>
      </c>
      <c r="U74" s="202">
        <f t="shared" si="2"/>
        <v>129</v>
      </c>
      <c r="V74" s="885">
        <f t="shared" si="3"/>
        <v>7.4515648286140088E-2</v>
      </c>
      <c r="W74" s="894"/>
      <c r="X74" s="894">
        <v>1</v>
      </c>
      <c r="Y74" s="885">
        <f t="shared" si="4"/>
        <v>5.9612518628912072</v>
      </c>
      <c r="Z74" s="224"/>
      <c r="AA74" s="224">
        <f>X74*P74*8</f>
        <v>13.6</v>
      </c>
      <c r="AB74" s="1"/>
      <c r="AC74" s="1"/>
      <c r="AD74" s="202">
        <f t="shared" si="5"/>
        <v>134.9612518628912</v>
      </c>
      <c r="AE74" s="295">
        <f t="shared" si="9"/>
        <v>13845.759305151571</v>
      </c>
      <c r="AF74" s="892">
        <f t="shared" si="6"/>
        <v>134.9612518628912</v>
      </c>
    </row>
    <row r="75" spans="1:32" ht="13.5" thickBot="1" x14ac:dyDescent="0.25">
      <c r="A75" s="893">
        <v>66</v>
      </c>
      <c r="B75" s="12" t="s">
        <v>365</v>
      </c>
      <c r="C75" s="1"/>
      <c r="D75" s="1">
        <v>42</v>
      </c>
      <c r="E75" s="1" t="s">
        <v>1419</v>
      </c>
      <c r="F75" s="1" t="s">
        <v>1420</v>
      </c>
      <c r="G75" s="85" t="s">
        <v>308</v>
      </c>
      <c r="H75" s="885">
        <f t="shared" si="16"/>
        <v>1</v>
      </c>
      <c r="I75" s="1">
        <v>324</v>
      </c>
      <c r="J75" s="44"/>
      <c r="K75" s="886">
        <f t="shared" si="17"/>
        <v>0.39506172839506171</v>
      </c>
      <c r="L75" s="1">
        <v>128</v>
      </c>
      <c r="M75" s="885">
        <f t="shared" si="15"/>
        <v>5.301728395061728</v>
      </c>
      <c r="N75" s="885">
        <v>10</v>
      </c>
      <c r="O75" s="1">
        <v>1.7</v>
      </c>
      <c r="P75" s="1"/>
      <c r="Q75" s="385" t="s">
        <v>283</v>
      </c>
      <c r="R75" s="226">
        <v>0.35</v>
      </c>
      <c r="S75" s="251">
        <v>3355</v>
      </c>
      <c r="T75" s="18">
        <v>18</v>
      </c>
      <c r="U75" s="202">
        <f t="shared" si="2"/>
        <v>6.3</v>
      </c>
      <c r="V75" s="885">
        <f t="shared" si="3"/>
        <v>0.18861773472429211</v>
      </c>
      <c r="W75" s="894">
        <f>I75/L75</f>
        <v>2.53125</v>
      </c>
      <c r="X75" s="894"/>
      <c r="Y75" s="885">
        <f t="shared" si="4"/>
        <v>15.089418777943369</v>
      </c>
      <c r="Z75" s="224">
        <f t="shared" ref="Z75:Z139" si="18">W75*O75*8</f>
        <v>34.424999999999997</v>
      </c>
      <c r="AA75" s="224"/>
      <c r="AB75" s="1">
        <v>242.9</v>
      </c>
      <c r="AC75" s="1"/>
      <c r="AD75" s="202">
        <f t="shared" si="5"/>
        <v>21.389418777943369</v>
      </c>
      <c r="AE75" s="295">
        <f t="shared" si="9"/>
        <v>13867.148723929515</v>
      </c>
      <c r="AF75" s="892">
        <f t="shared" si="6"/>
        <v>21.389418777943369</v>
      </c>
    </row>
    <row r="76" spans="1:32" ht="13.5" thickBot="1" x14ac:dyDescent="0.25">
      <c r="A76" s="893">
        <v>67</v>
      </c>
      <c r="B76" s="12" t="s">
        <v>1433</v>
      </c>
      <c r="C76" s="1"/>
      <c r="D76" s="1">
        <v>42</v>
      </c>
      <c r="E76" s="1" t="s">
        <v>266</v>
      </c>
      <c r="F76" s="1" t="s">
        <v>1297</v>
      </c>
      <c r="G76" s="85" t="s">
        <v>308</v>
      </c>
      <c r="H76" s="885">
        <f t="shared" si="16"/>
        <v>1</v>
      </c>
      <c r="I76" s="1">
        <v>324</v>
      </c>
      <c r="J76" s="44"/>
      <c r="K76" s="886">
        <f t="shared" si="17"/>
        <v>3.7037037037037035E-2</v>
      </c>
      <c r="L76" s="1">
        <v>12</v>
      </c>
      <c r="M76" s="885">
        <v>1</v>
      </c>
      <c r="N76" s="885">
        <v>10</v>
      </c>
      <c r="O76" s="1"/>
      <c r="P76" s="1">
        <v>1.7</v>
      </c>
      <c r="Q76" s="385"/>
      <c r="R76" s="226">
        <f t="shared" ref="R76:R131" si="19">S76/13.42</f>
        <v>0</v>
      </c>
      <c r="S76" s="251"/>
      <c r="T76" s="57"/>
      <c r="U76" s="202">
        <f t="shared" si="2"/>
        <v>0</v>
      </c>
      <c r="V76" s="885">
        <f t="shared" si="3"/>
        <v>1</v>
      </c>
      <c r="W76" s="894"/>
      <c r="X76" s="894">
        <f>I76/L76</f>
        <v>27</v>
      </c>
      <c r="Y76" s="885">
        <f t="shared" si="4"/>
        <v>80</v>
      </c>
      <c r="Z76" s="224"/>
      <c r="AA76" s="224">
        <f t="shared" ref="AA76:AA138" si="20">X76*P76*8</f>
        <v>367.2</v>
      </c>
      <c r="AB76" s="1"/>
      <c r="AC76" s="1"/>
      <c r="AD76" s="202">
        <f t="shared" si="5"/>
        <v>80</v>
      </c>
      <c r="AE76" s="295">
        <f t="shared" si="9"/>
        <v>13947.148723929515</v>
      </c>
      <c r="AF76" s="892">
        <f t="shared" si="6"/>
        <v>80</v>
      </c>
    </row>
    <row r="77" spans="1:32" ht="13.5" thickBot="1" x14ac:dyDescent="0.25">
      <c r="A77" s="893">
        <v>68</v>
      </c>
      <c r="B77" s="12" t="s">
        <v>1438</v>
      </c>
      <c r="C77" s="1"/>
      <c r="D77" s="1">
        <v>43</v>
      </c>
      <c r="E77" s="85" t="s">
        <v>1403</v>
      </c>
      <c r="F77" s="1" t="s">
        <v>1429</v>
      </c>
      <c r="G77" s="85" t="s">
        <v>308</v>
      </c>
      <c r="H77" s="885">
        <f t="shared" si="16"/>
        <v>1</v>
      </c>
      <c r="I77" s="1">
        <v>324</v>
      </c>
      <c r="J77" s="44"/>
      <c r="K77" s="886">
        <f t="shared" si="17"/>
        <v>1</v>
      </c>
      <c r="L77" s="1">
        <v>324</v>
      </c>
      <c r="M77" s="885">
        <f t="shared" si="15"/>
        <v>13.42</v>
      </c>
      <c r="N77" s="885">
        <v>10</v>
      </c>
      <c r="O77" s="1">
        <v>1.36</v>
      </c>
      <c r="P77" s="1"/>
      <c r="Q77" s="385" t="s">
        <v>234</v>
      </c>
      <c r="R77" s="226">
        <f t="shared" si="19"/>
        <v>4.0983606557377046</v>
      </c>
      <c r="S77" s="251">
        <v>55</v>
      </c>
      <c r="T77" s="202">
        <f>'PRECIOS INSUMOS 2015'!C$5</f>
        <v>2</v>
      </c>
      <c r="U77" s="202">
        <f t="shared" ref="U77:U136" si="21">R77*T77</f>
        <v>8.1967213114754092</v>
      </c>
      <c r="V77" s="885">
        <f t="shared" ref="V77:V136" si="22">H77/M77</f>
        <v>7.4515648286140088E-2</v>
      </c>
      <c r="W77" s="894">
        <f>I77/L77</f>
        <v>1</v>
      </c>
      <c r="X77" s="894"/>
      <c r="Y77" s="885">
        <f t="shared" ref="Y77:Y136" si="23">N77*V77*8</f>
        <v>5.9612518628912072</v>
      </c>
      <c r="Z77" s="224">
        <f t="shared" si="18"/>
        <v>10.88</v>
      </c>
      <c r="AA77" s="224"/>
      <c r="AB77" s="1"/>
      <c r="AC77" s="1"/>
      <c r="AD77" s="202">
        <f t="shared" ref="AD77:AD136" si="24">U77+Y77</f>
        <v>14.157973174366617</v>
      </c>
      <c r="AE77" s="295">
        <f t="shared" si="9"/>
        <v>13961.306697103881</v>
      </c>
      <c r="AF77" s="892">
        <f t="shared" ref="AF77:AF138" si="25">U77+Y77</f>
        <v>14.157973174366617</v>
      </c>
    </row>
    <row r="78" spans="1:32" ht="13.5" thickBot="1" x14ac:dyDescent="0.25">
      <c r="A78" s="893">
        <v>69</v>
      </c>
      <c r="B78" s="12" t="s">
        <v>1439</v>
      </c>
      <c r="C78" s="1"/>
      <c r="D78" s="1">
        <v>43</v>
      </c>
      <c r="E78" s="1"/>
      <c r="F78" s="1"/>
      <c r="G78" s="85" t="s">
        <v>308</v>
      </c>
      <c r="H78" s="885">
        <f t="shared" si="16"/>
        <v>1</v>
      </c>
      <c r="I78" s="1">
        <v>324</v>
      </c>
      <c r="J78" s="44"/>
      <c r="K78" s="886">
        <f t="shared" si="17"/>
        <v>1</v>
      </c>
      <c r="L78" s="1">
        <v>324</v>
      </c>
      <c r="M78" s="885">
        <f t="shared" si="15"/>
        <v>13.42</v>
      </c>
      <c r="N78" s="885">
        <v>10</v>
      </c>
      <c r="O78" s="1"/>
      <c r="P78" s="1">
        <v>1.7</v>
      </c>
      <c r="Q78" s="385" t="s">
        <v>1440</v>
      </c>
      <c r="R78" s="226">
        <f t="shared" si="19"/>
        <v>2</v>
      </c>
      <c r="S78" s="251">
        <f>2*13.42</f>
        <v>26.84</v>
      </c>
      <c r="T78" s="18">
        <f>'PRECIOS INSUMOS 2015'!H$30</f>
        <v>8.9499999999999993</v>
      </c>
      <c r="U78" s="202">
        <f t="shared" si="21"/>
        <v>17.899999999999999</v>
      </c>
      <c r="V78" s="885">
        <f t="shared" si="22"/>
        <v>7.4515648286140088E-2</v>
      </c>
      <c r="W78" s="894"/>
      <c r="X78" s="894">
        <f>I78/L78</f>
        <v>1</v>
      </c>
      <c r="Y78" s="885">
        <f t="shared" si="23"/>
        <v>5.9612518628912072</v>
      </c>
      <c r="Z78" s="224"/>
      <c r="AA78" s="224">
        <f t="shared" si="20"/>
        <v>13.6</v>
      </c>
      <c r="AB78" s="1"/>
      <c r="AC78" s="1"/>
      <c r="AD78" s="202">
        <f t="shared" si="24"/>
        <v>23.861251862891205</v>
      </c>
      <c r="AE78" s="295">
        <f t="shared" ref="AE78:AE136" si="26">AE77+AD78</f>
        <v>13985.167948966771</v>
      </c>
      <c r="AF78" s="892">
        <f t="shared" si="25"/>
        <v>23.861251862891205</v>
      </c>
    </row>
    <row r="79" spans="1:32" ht="13.5" thickBot="1" x14ac:dyDescent="0.25">
      <c r="A79" s="893">
        <v>70</v>
      </c>
      <c r="B79" s="12" t="s">
        <v>1450</v>
      </c>
      <c r="C79" s="1"/>
      <c r="D79" s="1">
        <v>44</v>
      </c>
      <c r="E79" s="85" t="s">
        <v>1403</v>
      </c>
      <c r="F79" s="1" t="s">
        <v>1429</v>
      </c>
      <c r="G79" s="85" t="s">
        <v>308</v>
      </c>
      <c r="H79" s="885">
        <f t="shared" si="16"/>
        <v>1</v>
      </c>
      <c r="I79" s="1">
        <v>324</v>
      </c>
      <c r="J79" s="44"/>
      <c r="K79" s="886">
        <f t="shared" si="17"/>
        <v>1</v>
      </c>
      <c r="L79" s="1">
        <v>324</v>
      </c>
      <c r="M79" s="885">
        <f t="shared" si="15"/>
        <v>13.42</v>
      </c>
      <c r="N79" s="885">
        <v>10</v>
      </c>
      <c r="O79" s="1">
        <v>1.36</v>
      </c>
      <c r="P79" s="1"/>
      <c r="Q79" s="385" t="s">
        <v>234</v>
      </c>
      <c r="R79" s="226">
        <f t="shared" si="19"/>
        <v>4.0983606557377046</v>
      </c>
      <c r="S79" s="251">
        <v>55</v>
      </c>
      <c r="T79" s="202">
        <f>'PRECIOS INSUMOS 2015'!C$5</f>
        <v>2</v>
      </c>
      <c r="U79" s="202">
        <f t="shared" si="21"/>
        <v>8.1967213114754092</v>
      </c>
      <c r="V79" s="885">
        <f t="shared" si="22"/>
        <v>7.4515648286140088E-2</v>
      </c>
      <c r="W79" s="894">
        <f>I79/L79</f>
        <v>1</v>
      </c>
      <c r="X79" s="894"/>
      <c r="Y79" s="885">
        <f t="shared" si="23"/>
        <v>5.9612518628912072</v>
      </c>
      <c r="Z79" s="224">
        <f t="shared" si="18"/>
        <v>10.88</v>
      </c>
      <c r="AA79" s="224"/>
      <c r="AB79" s="1"/>
      <c r="AC79" s="1"/>
      <c r="AD79" s="202">
        <f t="shared" si="24"/>
        <v>14.157973174366617</v>
      </c>
      <c r="AE79" s="295">
        <f t="shared" si="26"/>
        <v>13999.325922141137</v>
      </c>
      <c r="AF79" s="892">
        <f t="shared" si="25"/>
        <v>14.157973174366617</v>
      </c>
    </row>
    <row r="80" spans="1:32" ht="13.5" thickBot="1" x14ac:dyDescent="0.25">
      <c r="A80" s="893">
        <v>71</v>
      </c>
      <c r="B80" s="12" t="s">
        <v>1451</v>
      </c>
      <c r="C80" s="1"/>
      <c r="D80" s="1">
        <v>44</v>
      </c>
      <c r="E80" s="1"/>
      <c r="F80" s="1"/>
      <c r="G80" s="85" t="s">
        <v>308</v>
      </c>
      <c r="H80" s="885">
        <f t="shared" si="16"/>
        <v>1</v>
      </c>
      <c r="I80" s="1">
        <v>324</v>
      </c>
      <c r="J80" s="44"/>
      <c r="K80" s="886">
        <f t="shared" si="17"/>
        <v>1</v>
      </c>
      <c r="L80" s="1">
        <v>324</v>
      </c>
      <c r="M80" s="885">
        <f t="shared" si="15"/>
        <v>13.42</v>
      </c>
      <c r="N80" s="885">
        <v>10</v>
      </c>
      <c r="O80" s="1"/>
      <c r="P80" s="1">
        <v>1.7</v>
      </c>
      <c r="Q80" s="385" t="s">
        <v>1452</v>
      </c>
      <c r="R80" s="226">
        <f t="shared" si="19"/>
        <v>3.8420268256333832</v>
      </c>
      <c r="S80" s="251">
        <v>51.56</v>
      </c>
      <c r="T80" s="18">
        <f>'PRECIOS INSUMOS 2015'!H$29</f>
        <v>20</v>
      </c>
      <c r="U80" s="202">
        <f t="shared" si="21"/>
        <v>76.840536512667668</v>
      </c>
      <c r="V80" s="885">
        <f t="shared" si="22"/>
        <v>7.4515648286140088E-2</v>
      </c>
      <c r="W80" s="894"/>
      <c r="X80" s="894">
        <v>1</v>
      </c>
      <c r="Y80" s="885">
        <f t="shared" si="23"/>
        <v>5.9612518628912072</v>
      </c>
      <c r="Z80" s="224"/>
      <c r="AA80" s="224">
        <f t="shared" si="20"/>
        <v>13.6</v>
      </c>
      <c r="AB80" s="1"/>
      <c r="AC80" s="1"/>
      <c r="AD80" s="202">
        <f t="shared" si="24"/>
        <v>82.801788375558871</v>
      </c>
      <c r="AE80" s="295">
        <f t="shared" si="26"/>
        <v>14082.127710516696</v>
      </c>
      <c r="AF80" s="892">
        <f t="shared" si="25"/>
        <v>82.801788375558871</v>
      </c>
    </row>
    <row r="81" spans="1:32" ht="13.5" thickBot="1" x14ac:dyDescent="0.25">
      <c r="A81" s="893">
        <v>72</v>
      </c>
      <c r="B81" s="12" t="s">
        <v>1444</v>
      </c>
      <c r="C81" s="1"/>
      <c r="D81" s="1">
        <v>45</v>
      </c>
      <c r="E81" s="85" t="s">
        <v>1403</v>
      </c>
      <c r="F81" s="1" t="s">
        <v>1429</v>
      </c>
      <c r="G81" s="85" t="s">
        <v>308</v>
      </c>
      <c r="H81" s="885">
        <f t="shared" si="16"/>
        <v>1</v>
      </c>
      <c r="I81" s="1">
        <v>324</v>
      </c>
      <c r="J81" s="44"/>
      <c r="K81" s="886">
        <f t="shared" si="17"/>
        <v>1</v>
      </c>
      <c r="L81" s="1">
        <v>324</v>
      </c>
      <c r="M81" s="885">
        <f t="shared" si="15"/>
        <v>13.42</v>
      </c>
      <c r="N81" s="885">
        <v>10</v>
      </c>
      <c r="O81" s="1">
        <v>1.36</v>
      </c>
      <c r="P81" s="1"/>
      <c r="Q81" s="385" t="s">
        <v>234</v>
      </c>
      <c r="R81" s="226">
        <f t="shared" si="19"/>
        <v>4.0983606557377046</v>
      </c>
      <c r="S81" s="251">
        <v>55</v>
      </c>
      <c r="T81" s="202">
        <f>'PRECIOS INSUMOS 2015'!C$5</f>
        <v>2</v>
      </c>
      <c r="U81" s="202">
        <f t="shared" si="21"/>
        <v>8.1967213114754092</v>
      </c>
      <c r="V81" s="885">
        <f t="shared" si="22"/>
        <v>7.4515648286140088E-2</v>
      </c>
      <c r="W81" s="894">
        <f>I81/L81</f>
        <v>1</v>
      </c>
      <c r="X81" s="894"/>
      <c r="Y81" s="885">
        <f t="shared" si="23"/>
        <v>5.9612518628912072</v>
      </c>
      <c r="Z81" s="224">
        <f t="shared" si="18"/>
        <v>10.88</v>
      </c>
      <c r="AA81" s="224"/>
      <c r="AB81" s="1"/>
      <c r="AC81" s="1"/>
      <c r="AD81" s="202">
        <f t="shared" si="24"/>
        <v>14.157973174366617</v>
      </c>
      <c r="AE81" s="295">
        <f t="shared" si="26"/>
        <v>14096.285683691061</v>
      </c>
      <c r="AF81" s="892">
        <f t="shared" si="25"/>
        <v>14.157973174366617</v>
      </c>
    </row>
    <row r="82" spans="1:32" ht="13.5" thickBot="1" x14ac:dyDescent="0.25">
      <c r="A82" s="893">
        <v>73</v>
      </c>
      <c r="B82" s="12" t="s">
        <v>1445</v>
      </c>
      <c r="C82" s="1"/>
      <c r="D82" s="1">
        <v>45</v>
      </c>
      <c r="E82" s="1"/>
      <c r="F82" s="1"/>
      <c r="G82" s="85" t="s">
        <v>308</v>
      </c>
      <c r="H82" s="885">
        <f t="shared" si="16"/>
        <v>1</v>
      </c>
      <c r="I82" s="1">
        <v>324</v>
      </c>
      <c r="J82" s="44"/>
      <c r="K82" s="886">
        <f t="shared" si="17"/>
        <v>1</v>
      </c>
      <c r="L82" s="1">
        <v>324</v>
      </c>
      <c r="M82" s="885">
        <f t="shared" si="15"/>
        <v>13.42</v>
      </c>
      <c r="N82" s="885">
        <v>10</v>
      </c>
      <c r="O82" s="1"/>
      <c r="P82" s="1">
        <v>1.7</v>
      </c>
      <c r="Q82" s="385" t="s">
        <v>978</v>
      </c>
      <c r="R82" s="226">
        <f t="shared" si="19"/>
        <v>2.5</v>
      </c>
      <c r="S82" s="251">
        <f>2.5*13.42</f>
        <v>33.549999999999997</v>
      </c>
      <c r="T82" s="18">
        <f>'PRECIOS INSUMOS 2015'!H$21</f>
        <v>12</v>
      </c>
      <c r="U82" s="202">
        <f t="shared" si="21"/>
        <v>30</v>
      </c>
      <c r="V82" s="885">
        <f t="shared" si="22"/>
        <v>7.4515648286140088E-2</v>
      </c>
      <c r="W82" s="894"/>
      <c r="X82" s="894">
        <v>1</v>
      </c>
      <c r="Y82" s="885">
        <f t="shared" si="23"/>
        <v>5.9612518628912072</v>
      </c>
      <c r="Z82" s="224"/>
      <c r="AA82" s="224">
        <f t="shared" si="20"/>
        <v>13.6</v>
      </c>
      <c r="AB82" s="1"/>
      <c r="AC82" s="1"/>
      <c r="AD82" s="202">
        <f t="shared" si="24"/>
        <v>35.96125186289121</v>
      </c>
      <c r="AE82" s="295">
        <f t="shared" si="26"/>
        <v>14132.246935553952</v>
      </c>
      <c r="AF82" s="892">
        <f t="shared" si="25"/>
        <v>35.96125186289121</v>
      </c>
    </row>
    <row r="83" spans="1:32" ht="13.5" thickBot="1" x14ac:dyDescent="0.25">
      <c r="A83" s="893">
        <v>74</v>
      </c>
      <c r="B83" s="12" t="s">
        <v>1445</v>
      </c>
      <c r="C83" s="1"/>
      <c r="D83" s="1">
        <v>45</v>
      </c>
      <c r="E83" s="1"/>
      <c r="F83" s="1"/>
      <c r="G83" s="85" t="s">
        <v>308</v>
      </c>
      <c r="H83" s="885">
        <f t="shared" si="16"/>
        <v>1</v>
      </c>
      <c r="I83" s="1">
        <v>324</v>
      </c>
      <c r="J83" s="44"/>
      <c r="K83" s="886">
        <f t="shared" si="17"/>
        <v>1</v>
      </c>
      <c r="L83" s="1">
        <v>324</v>
      </c>
      <c r="M83" s="885">
        <f t="shared" si="15"/>
        <v>13.42</v>
      </c>
      <c r="N83" s="885">
        <v>10</v>
      </c>
      <c r="O83" s="1"/>
      <c r="P83" s="1">
        <v>1.7</v>
      </c>
      <c r="Q83" s="385" t="s">
        <v>981</v>
      </c>
      <c r="R83" s="226">
        <f t="shared" si="19"/>
        <v>2.5</v>
      </c>
      <c r="S83" s="251">
        <f>2.5*13.42</f>
        <v>33.549999999999997</v>
      </c>
      <c r="T83" s="18">
        <f>'PRECIOS INSUMOS 2015'!C$70</f>
        <v>60</v>
      </c>
      <c r="U83" s="202">
        <f t="shared" si="21"/>
        <v>150</v>
      </c>
      <c r="V83" s="885">
        <f t="shared" si="22"/>
        <v>7.4515648286140088E-2</v>
      </c>
      <c r="W83" s="894"/>
      <c r="X83" s="894">
        <v>1</v>
      </c>
      <c r="Y83" s="885">
        <f t="shared" si="23"/>
        <v>5.9612518628912072</v>
      </c>
      <c r="Z83" s="224"/>
      <c r="AA83" s="224">
        <f t="shared" si="20"/>
        <v>13.6</v>
      </c>
      <c r="AB83" s="1"/>
      <c r="AC83" s="1"/>
      <c r="AD83" s="202">
        <f t="shared" si="24"/>
        <v>155.9612518628912</v>
      </c>
      <c r="AE83" s="295">
        <f t="shared" si="26"/>
        <v>14288.208187416843</v>
      </c>
      <c r="AF83" s="892">
        <f t="shared" si="25"/>
        <v>155.9612518628912</v>
      </c>
    </row>
    <row r="84" spans="1:32" ht="13.5" thickBot="1" x14ac:dyDescent="0.25">
      <c r="A84" s="893">
        <v>75</v>
      </c>
      <c r="B84" s="12" t="s">
        <v>365</v>
      </c>
      <c r="C84" s="1"/>
      <c r="D84" s="1">
        <v>47</v>
      </c>
      <c r="E84" s="1" t="s">
        <v>1419</v>
      </c>
      <c r="F84" s="1" t="s">
        <v>1420</v>
      </c>
      <c r="G84" s="85" t="s">
        <v>308</v>
      </c>
      <c r="H84" s="885">
        <f t="shared" si="16"/>
        <v>1</v>
      </c>
      <c r="I84" s="1">
        <v>324</v>
      </c>
      <c r="J84" s="44"/>
      <c r="K84" s="886">
        <f t="shared" si="17"/>
        <v>0.39506172839506171</v>
      </c>
      <c r="L84" s="1">
        <v>128</v>
      </c>
      <c r="M84" s="885">
        <f t="shared" si="15"/>
        <v>5.301728395061728</v>
      </c>
      <c r="N84" s="885">
        <v>10</v>
      </c>
      <c r="O84" s="1">
        <v>1.7</v>
      </c>
      <c r="P84" s="1"/>
      <c r="Q84" s="385" t="s">
        <v>283</v>
      </c>
      <c r="R84" s="226">
        <v>0.35</v>
      </c>
      <c r="S84" s="251">
        <v>3355</v>
      </c>
      <c r="T84" s="18">
        <v>18</v>
      </c>
      <c r="U84" s="202">
        <f t="shared" si="21"/>
        <v>6.3</v>
      </c>
      <c r="V84" s="885">
        <f t="shared" si="22"/>
        <v>0.18861773472429211</v>
      </c>
      <c r="W84" s="894">
        <f>I84/L84</f>
        <v>2.53125</v>
      </c>
      <c r="X84" s="894"/>
      <c r="Y84" s="885">
        <f t="shared" si="23"/>
        <v>15.089418777943369</v>
      </c>
      <c r="Z84" s="224">
        <f t="shared" si="18"/>
        <v>34.424999999999997</v>
      </c>
      <c r="AA84" s="224"/>
      <c r="AB84" s="1">
        <v>242.9</v>
      </c>
      <c r="AC84" s="1"/>
      <c r="AD84" s="202">
        <f t="shared" si="24"/>
        <v>21.389418777943369</v>
      </c>
      <c r="AE84" s="295">
        <f t="shared" si="26"/>
        <v>14309.597606194788</v>
      </c>
      <c r="AF84" s="892">
        <f t="shared" si="25"/>
        <v>21.389418777943369</v>
      </c>
    </row>
    <row r="85" spans="1:32" ht="13.5" thickBot="1" x14ac:dyDescent="0.25">
      <c r="A85" s="893">
        <v>76</v>
      </c>
      <c r="B85" s="12" t="s">
        <v>1433</v>
      </c>
      <c r="C85" s="1"/>
      <c r="D85" s="1">
        <v>47</v>
      </c>
      <c r="E85" s="1" t="s">
        <v>266</v>
      </c>
      <c r="F85" s="1" t="s">
        <v>1297</v>
      </c>
      <c r="G85" s="85" t="s">
        <v>308</v>
      </c>
      <c r="H85" s="885">
        <f t="shared" si="16"/>
        <v>1</v>
      </c>
      <c r="I85" s="1">
        <v>324</v>
      </c>
      <c r="J85" s="44"/>
      <c r="K85" s="886">
        <f t="shared" si="17"/>
        <v>3.7037037037037035E-2</v>
      </c>
      <c r="L85" s="1">
        <v>12</v>
      </c>
      <c r="M85" s="885">
        <v>1</v>
      </c>
      <c r="N85" s="885">
        <v>10</v>
      </c>
      <c r="O85" s="1"/>
      <c r="P85" s="1">
        <v>1.7</v>
      </c>
      <c r="Q85" s="385"/>
      <c r="R85" s="226">
        <f t="shared" si="19"/>
        <v>0</v>
      </c>
      <c r="S85" s="251"/>
      <c r="T85" s="57"/>
      <c r="U85" s="202">
        <f t="shared" si="21"/>
        <v>0</v>
      </c>
      <c r="V85" s="885">
        <f t="shared" si="22"/>
        <v>1</v>
      </c>
      <c r="W85" s="894"/>
      <c r="X85" s="894">
        <f>I85/L85</f>
        <v>27</v>
      </c>
      <c r="Y85" s="885">
        <f t="shared" si="23"/>
        <v>80</v>
      </c>
      <c r="Z85" s="224"/>
      <c r="AA85" s="224">
        <f t="shared" si="20"/>
        <v>367.2</v>
      </c>
      <c r="AB85" s="1"/>
      <c r="AC85" s="1"/>
      <c r="AD85" s="202">
        <f t="shared" si="24"/>
        <v>80</v>
      </c>
      <c r="AE85" s="295">
        <f t="shared" si="26"/>
        <v>14389.597606194788</v>
      </c>
      <c r="AF85" s="892">
        <f t="shared" si="25"/>
        <v>80</v>
      </c>
    </row>
    <row r="86" spans="1:32" ht="13.5" thickBot="1" x14ac:dyDescent="0.25">
      <c r="A86" s="893">
        <v>77</v>
      </c>
      <c r="B86" s="12" t="s">
        <v>1438</v>
      </c>
      <c r="C86" s="1"/>
      <c r="D86" s="1">
        <v>48</v>
      </c>
      <c r="E86" s="1" t="s">
        <v>1403</v>
      </c>
      <c r="F86" s="1" t="s">
        <v>1429</v>
      </c>
      <c r="G86" s="85" t="s">
        <v>308</v>
      </c>
      <c r="H86" s="885">
        <f t="shared" si="16"/>
        <v>1</v>
      </c>
      <c r="I86" s="1">
        <v>324</v>
      </c>
      <c r="J86" s="44"/>
      <c r="K86" s="886">
        <f t="shared" si="17"/>
        <v>1</v>
      </c>
      <c r="L86" s="1">
        <v>324</v>
      </c>
      <c r="M86" s="885">
        <f t="shared" si="15"/>
        <v>13.42</v>
      </c>
      <c r="N86" s="885">
        <v>10</v>
      </c>
      <c r="O86" s="1">
        <v>1.36</v>
      </c>
      <c r="P86" s="1"/>
      <c r="Q86" s="385" t="s">
        <v>234</v>
      </c>
      <c r="R86" s="226">
        <f t="shared" si="19"/>
        <v>4.0983606557377046</v>
      </c>
      <c r="S86" s="251">
        <v>55</v>
      </c>
      <c r="T86" s="202">
        <f>'PRECIOS INSUMOS 2015'!C$5</f>
        <v>2</v>
      </c>
      <c r="U86" s="202">
        <f t="shared" si="21"/>
        <v>8.1967213114754092</v>
      </c>
      <c r="V86" s="885">
        <f t="shared" si="22"/>
        <v>7.4515648286140088E-2</v>
      </c>
      <c r="W86" s="894">
        <f>I86/L86</f>
        <v>1</v>
      </c>
      <c r="X86" s="894"/>
      <c r="Y86" s="885">
        <f t="shared" si="23"/>
        <v>5.9612518628912072</v>
      </c>
      <c r="Z86" s="224">
        <f t="shared" si="18"/>
        <v>10.88</v>
      </c>
      <c r="AA86" s="224"/>
      <c r="AB86" s="1"/>
      <c r="AC86" s="1"/>
      <c r="AD86" s="202">
        <f t="shared" si="24"/>
        <v>14.157973174366617</v>
      </c>
      <c r="AE86" s="295">
        <f t="shared" si="26"/>
        <v>14403.755579369154</v>
      </c>
      <c r="AF86" s="892">
        <f t="shared" si="25"/>
        <v>14.157973174366617</v>
      </c>
    </row>
    <row r="87" spans="1:32" ht="13.5" thickBot="1" x14ac:dyDescent="0.25">
      <c r="A87" s="893">
        <v>78</v>
      </c>
      <c r="B87" s="12" t="s">
        <v>1439</v>
      </c>
      <c r="C87" s="1"/>
      <c r="D87" s="1">
        <v>48</v>
      </c>
      <c r="E87" s="1"/>
      <c r="F87" s="1"/>
      <c r="G87" s="85" t="s">
        <v>308</v>
      </c>
      <c r="H87" s="885">
        <f t="shared" si="16"/>
        <v>1</v>
      </c>
      <c r="I87" s="1">
        <v>324</v>
      </c>
      <c r="J87" s="44"/>
      <c r="K87" s="886">
        <f t="shared" si="17"/>
        <v>1</v>
      </c>
      <c r="L87" s="1">
        <v>324</v>
      </c>
      <c r="M87" s="885">
        <f t="shared" si="15"/>
        <v>13.42</v>
      </c>
      <c r="N87" s="885">
        <v>10</v>
      </c>
      <c r="O87" s="1"/>
      <c r="P87" s="1">
        <v>1.7</v>
      </c>
      <c r="Q87" s="385" t="s">
        <v>1446</v>
      </c>
      <c r="R87" s="226">
        <f t="shared" si="19"/>
        <v>2</v>
      </c>
      <c r="S87" s="251">
        <f>2*13.42</f>
        <v>26.84</v>
      </c>
      <c r="T87" s="18">
        <f>'PRECIOS INSUMOS 2015'!H$30</f>
        <v>8.9499999999999993</v>
      </c>
      <c r="U87" s="202">
        <f t="shared" si="21"/>
        <v>17.899999999999999</v>
      </c>
      <c r="V87" s="885">
        <f t="shared" si="22"/>
        <v>7.4515648286140088E-2</v>
      </c>
      <c r="W87" s="894"/>
      <c r="X87" s="894">
        <f>I87/L87</f>
        <v>1</v>
      </c>
      <c r="Y87" s="885">
        <f t="shared" si="23"/>
        <v>5.9612518628912072</v>
      </c>
      <c r="Z87" s="224"/>
      <c r="AA87" s="224">
        <f t="shared" si="20"/>
        <v>13.6</v>
      </c>
      <c r="AB87" s="1"/>
      <c r="AC87" s="1"/>
      <c r="AD87" s="202">
        <f t="shared" si="24"/>
        <v>23.861251862891205</v>
      </c>
      <c r="AE87" s="295">
        <f t="shared" si="26"/>
        <v>14427.616831232044</v>
      </c>
      <c r="AF87" s="892">
        <f t="shared" si="25"/>
        <v>23.861251862891205</v>
      </c>
    </row>
    <row r="88" spans="1:32" ht="13.5" thickBot="1" x14ac:dyDescent="0.25">
      <c r="A88" s="893">
        <v>79</v>
      </c>
      <c r="B88" s="12" t="s">
        <v>1444</v>
      </c>
      <c r="C88" s="1"/>
      <c r="D88" s="1">
        <v>50</v>
      </c>
      <c r="E88" s="1" t="s">
        <v>1403</v>
      </c>
      <c r="F88" s="1" t="s">
        <v>1429</v>
      </c>
      <c r="G88" s="85" t="s">
        <v>308</v>
      </c>
      <c r="H88" s="885">
        <f t="shared" si="16"/>
        <v>1</v>
      </c>
      <c r="I88" s="1">
        <v>324</v>
      </c>
      <c r="J88" s="44"/>
      <c r="K88" s="886">
        <f t="shared" si="17"/>
        <v>1</v>
      </c>
      <c r="L88" s="1">
        <v>324</v>
      </c>
      <c r="M88" s="885">
        <f t="shared" si="15"/>
        <v>13.42</v>
      </c>
      <c r="N88" s="885">
        <v>10</v>
      </c>
      <c r="O88" s="1">
        <v>1.36</v>
      </c>
      <c r="P88" s="1"/>
      <c r="Q88" s="385" t="s">
        <v>234</v>
      </c>
      <c r="R88" s="226">
        <f t="shared" si="19"/>
        <v>4.0983606557377046</v>
      </c>
      <c r="S88" s="251">
        <v>55</v>
      </c>
      <c r="T88" s="202">
        <f>'PRECIOS INSUMOS 2015'!C$5</f>
        <v>2</v>
      </c>
      <c r="U88" s="202">
        <f t="shared" si="21"/>
        <v>8.1967213114754092</v>
      </c>
      <c r="V88" s="885">
        <f t="shared" si="22"/>
        <v>7.4515648286140088E-2</v>
      </c>
      <c r="W88" s="894">
        <f>I88/L88</f>
        <v>1</v>
      </c>
      <c r="X88" s="894"/>
      <c r="Y88" s="885">
        <f t="shared" si="23"/>
        <v>5.9612518628912072</v>
      </c>
      <c r="Z88" s="224">
        <f t="shared" si="18"/>
        <v>10.88</v>
      </c>
      <c r="AA88" s="224"/>
      <c r="AB88" s="1"/>
      <c r="AC88" s="1"/>
      <c r="AD88" s="202">
        <f t="shared" si="24"/>
        <v>14.157973174366617</v>
      </c>
      <c r="AE88" s="295">
        <f t="shared" si="26"/>
        <v>14441.77480440641</v>
      </c>
      <c r="AF88" s="892">
        <f t="shared" si="25"/>
        <v>14.157973174366617</v>
      </c>
    </row>
    <row r="89" spans="1:32" ht="13.5" thickBot="1" x14ac:dyDescent="0.25">
      <c r="A89" s="893">
        <v>80</v>
      </c>
      <c r="B89" s="12" t="s">
        <v>1445</v>
      </c>
      <c r="C89" s="1"/>
      <c r="D89" s="1">
        <v>50</v>
      </c>
      <c r="E89" s="1"/>
      <c r="F89" s="1"/>
      <c r="G89" s="85" t="s">
        <v>308</v>
      </c>
      <c r="H89" s="885">
        <f t="shared" si="16"/>
        <v>1</v>
      </c>
      <c r="I89" s="1">
        <v>324</v>
      </c>
      <c r="J89" s="44"/>
      <c r="K89" s="886">
        <f t="shared" si="17"/>
        <v>1</v>
      </c>
      <c r="L89" s="1">
        <v>324</v>
      </c>
      <c r="M89" s="885">
        <f t="shared" si="15"/>
        <v>13.42</v>
      </c>
      <c r="N89" s="885">
        <v>10</v>
      </c>
      <c r="O89" s="1"/>
      <c r="P89" s="1">
        <v>1.7</v>
      </c>
      <c r="Q89" s="385" t="s">
        <v>978</v>
      </c>
      <c r="R89" s="226">
        <f t="shared" si="19"/>
        <v>2.5</v>
      </c>
      <c r="S89" s="251">
        <f>2.5*13.42</f>
        <v>33.549999999999997</v>
      </c>
      <c r="T89" s="18">
        <f>'PRECIOS INSUMOS 2015'!H$21</f>
        <v>12</v>
      </c>
      <c r="U89" s="202">
        <f t="shared" si="21"/>
        <v>30</v>
      </c>
      <c r="V89" s="885">
        <f t="shared" si="22"/>
        <v>7.4515648286140088E-2</v>
      </c>
      <c r="W89" s="894"/>
      <c r="X89" s="894">
        <v>1</v>
      </c>
      <c r="Y89" s="885">
        <f t="shared" si="23"/>
        <v>5.9612518628912072</v>
      </c>
      <c r="Z89" s="224"/>
      <c r="AA89" s="224">
        <f t="shared" si="20"/>
        <v>13.6</v>
      </c>
      <c r="AB89" s="1"/>
      <c r="AC89" s="1"/>
      <c r="AD89" s="202">
        <f t="shared" si="24"/>
        <v>35.96125186289121</v>
      </c>
      <c r="AE89" s="295">
        <f t="shared" si="26"/>
        <v>14477.736056269301</v>
      </c>
      <c r="AF89" s="892">
        <f t="shared" si="25"/>
        <v>35.96125186289121</v>
      </c>
    </row>
    <row r="90" spans="1:32" ht="13.5" thickBot="1" x14ac:dyDescent="0.25">
      <c r="A90" s="893">
        <v>81</v>
      </c>
      <c r="B90" s="12" t="s">
        <v>1448</v>
      </c>
      <c r="C90" s="1"/>
      <c r="D90" s="1">
        <v>50</v>
      </c>
      <c r="E90" s="1" t="s">
        <v>1403</v>
      </c>
      <c r="F90" s="1" t="s">
        <v>1429</v>
      </c>
      <c r="G90" s="85" t="s">
        <v>308</v>
      </c>
      <c r="H90" s="885">
        <f t="shared" si="16"/>
        <v>1</v>
      </c>
      <c r="I90" s="1">
        <v>324</v>
      </c>
      <c r="J90" s="44"/>
      <c r="K90" s="886">
        <f t="shared" si="17"/>
        <v>1</v>
      </c>
      <c r="L90" s="1">
        <v>324</v>
      </c>
      <c r="M90" s="885">
        <f t="shared" si="15"/>
        <v>13.42</v>
      </c>
      <c r="N90" s="885">
        <v>10</v>
      </c>
      <c r="O90" s="1">
        <v>1.36</v>
      </c>
      <c r="P90" s="1"/>
      <c r="Q90" s="385" t="s">
        <v>234</v>
      </c>
      <c r="R90" s="226">
        <f t="shared" si="19"/>
        <v>4.0983606557377046</v>
      </c>
      <c r="S90" s="251">
        <v>55</v>
      </c>
      <c r="T90" s="202">
        <f>'PRECIOS INSUMOS 2015'!C$5</f>
        <v>2</v>
      </c>
      <c r="U90" s="202">
        <f t="shared" si="21"/>
        <v>8.1967213114754092</v>
      </c>
      <c r="V90" s="885">
        <f t="shared" si="22"/>
        <v>7.4515648286140088E-2</v>
      </c>
      <c r="W90" s="894">
        <f>I90/L90</f>
        <v>1</v>
      </c>
      <c r="X90" s="894"/>
      <c r="Y90" s="885">
        <f t="shared" si="23"/>
        <v>5.9612518628912072</v>
      </c>
      <c r="Z90" s="224">
        <f t="shared" si="18"/>
        <v>10.88</v>
      </c>
      <c r="AA90" s="224"/>
      <c r="AB90" s="1"/>
      <c r="AC90" s="1"/>
      <c r="AD90" s="202">
        <f t="shared" si="24"/>
        <v>14.157973174366617</v>
      </c>
      <c r="AE90" s="295">
        <f t="shared" si="26"/>
        <v>14491.894029443667</v>
      </c>
      <c r="AF90" s="892">
        <f t="shared" si="25"/>
        <v>14.157973174366617</v>
      </c>
    </row>
    <row r="91" spans="1:32" ht="13.5" thickBot="1" x14ac:dyDescent="0.25">
      <c r="A91" s="893">
        <v>82</v>
      </c>
      <c r="B91" s="12" t="s">
        <v>1449</v>
      </c>
      <c r="C91" s="1"/>
      <c r="D91" s="1">
        <v>50</v>
      </c>
      <c r="E91" s="1"/>
      <c r="F91" s="1"/>
      <c r="G91" s="85" t="s">
        <v>308</v>
      </c>
      <c r="H91" s="885">
        <f t="shared" si="16"/>
        <v>1</v>
      </c>
      <c r="I91" s="1">
        <v>324</v>
      </c>
      <c r="J91" s="44"/>
      <c r="K91" s="886">
        <f t="shared" si="17"/>
        <v>1</v>
      </c>
      <c r="L91" s="1">
        <v>324</v>
      </c>
      <c r="M91" s="885">
        <f t="shared" si="15"/>
        <v>13.42</v>
      </c>
      <c r="N91" s="885">
        <v>10</v>
      </c>
      <c r="O91" s="1"/>
      <c r="P91" s="1">
        <v>1.7</v>
      </c>
      <c r="Q91" s="385" t="s">
        <v>982</v>
      </c>
      <c r="R91" s="226">
        <f t="shared" si="19"/>
        <v>0.4</v>
      </c>
      <c r="S91" s="251">
        <f>0.4*13.42</f>
        <v>5.3680000000000003</v>
      </c>
      <c r="T91" s="18">
        <f>'PRECIOS INSUMOS 2015'!C$38</f>
        <v>350</v>
      </c>
      <c r="U91" s="202">
        <f t="shared" si="21"/>
        <v>140</v>
      </c>
      <c r="V91" s="885">
        <f t="shared" si="22"/>
        <v>7.4515648286140088E-2</v>
      </c>
      <c r="W91" s="894"/>
      <c r="X91" s="894">
        <v>1</v>
      </c>
      <c r="Y91" s="885">
        <f t="shared" si="23"/>
        <v>5.9612518628912072</v>
      </c>
      <c r="Z91" s="224"/>
      <c r="AA91" s="224">
        <f t="shared" si="20"/>
        <v>13.6</v>
      </c>
      <c r="AB91" s="1"/>
      <c r="AC91" s="1"/>
      <c r="AD91" s="202">
        <f t="shared" si="24"/>
        <v>145.9612518628912</v>
      </c>
      <c r="AE91" s="295">
        <f t="shared" si="26"/>
        <v>14637.855281306558</v>
      </c>
      <c r="AF91" s="892">
        <f t="shared" si="25"/>
        <v>145.9612518628912</v>
      </c>
    </row>
    <row r="92" spans="1:32" ht="13.5" thickBot="1" x14ac:dyDescent="0.25">
      <c r="A92" s="893">
        <v>83</v>
      </c>
      <c r="B92" s="12" t="s">
        <v>365</v>
      </c>
      <c r="C92" s="1"/>
      <c r="D92" s="1">
        <v>52</v>
      </c>
      <c r="E92" s="1" t="s">
        <v>1419</v>
      </c>
      <c r="F92" s="1" t="s">
        <v>1420</v>
      </c>
      <c r="G92" s="85" t="s">
        <v>308</v>
      </c>
      <c r="H92" s="885">
        <f t="shared" si="16"/>
        <v>1</v>
      </c>
      <c r="I92" s="1">
        <v>324</v>
      </c>
      <c r="J92" s="44"/>
      <c r="K92" s="886">
        <f t="shared" si="17"/>
        <v>0.39506172839506171</v>
      </c>
      <c r="L92" s="1">
        <v>128</v>
      </c>
      <c r="M92" s="885">
        <f t="shared" si="15"/>
        <v>5.301728395061728</v>
      </c>
      <c r="N92" s="885">
        <v>10</v>
      </c>
      <c r="O92" s="1">
        <v>1.7</v>
      </c>
      <c r="P92" s="1"/>
      <c r="Q92" s="385" t="s">
        <v>283</v>
      </c>
      <c r="R92" s="226">
        <v>0.35</v>
      </c>
      <c r="S92" s="251">
        <v>3355</v>
      </c>
      <c r="T92" s="18">
        <v>18</v>
      </c>
      <c r="U92" s="202">
        <f t="shared" si="21"/>
        <v>6.3</v>
      </c>
      <c r="V92" s="885">
        <f t="shared" si="22"/>
        <v>0.18861773472429211</v>
      </c>
      <c r="W92" s="894">
        <f>I92/L92</f>
        <v>2.53125</v>
      </c>
      <c r="X92" s="894"/>
      <c r="Y92" s="885">
        <f t="shared" si="23"/>
        <v>15.089418777943369</v>
      </c>
      <c r="Z92" s="224">
        <f t="shared" si="18"/>
        <v>34.424999999999997</v>
      </c>
      <c r="AA92" s="224"/>
      <c r="AB92" s="1">
        <v>242.9</v>
      </c>
      <c r="AC92" s="1"/>
      <c r="AD92" s="202">
        <f t="shared" si="24"/>
        <v>21.389418777943369</v>
      </c>
      <c r="AE92" s="295">
        <f t="shared" si="26"/>
        <v>14659.244700084502</v>
      </c>
      <c r="AF92" s="892">
        <f t="shared" si="25"/>
        <v>21.389418777943369</v>
      </c>
    </row>
    <row r="93" spans="1:32" ht="13.5" thickBot="1" x14ac:dyDescent="0.25">
      <c r="A93" s="893">
        <v>84</v>
      </c>
      <c r="B93" s="12" t="s">
        <v>1433</v>
      </c>
      <c r="C93" s="1"/>
      <c r="D93" s="1">
        <v>52</v>
      </c>
      <c r="E93" s="1" t="s">
        <v>266</v>
      </c>
      <c r="F93" s="1" t="s">
        <v>1297</v>
      </c>
      <c r="G93" s="85" t="s">
        <v>308</v>
      </c>
      <c r="H93" s="885">
        <f t="shared" si="16"/>
        <v>1</v>
      </c>
      <c r="I93" s="1">
        <v>324</v>
      </c>
      <c r="J93" s="44"/>
      <c r="K93" s="886">
        <f t="shared" si="17"/>
        <v>3.7037037037037035E-2</v>
      </c>
      <c r="L93" s="1">
        <v>12</v>
      </c>
      <c r="M93" s="885">
        <v>1</v>
      </c>
      <c r="N93" s="885">
        <v>10</v>
      </c>
      <c r="O93" s="1"/>
      <c r="P93" s="1">
        <v>1.7</v>
      </c>
      <c r="Q93" s="385"/>
      <c r="R93" s="226">
        <f t="shared" si="19"/>
        <v>0</v>
      </c>
      <c r="S93" s="251"/>
      <c r="T93" s="933"/>
      <c r="U93" s="202">
        <f t="shared" si="21"/>
        <v>0</v>
      </c>
      <c r="V93" s="885">
        <f t="shared" si="22"/>
        <v>1</v>
      </c>
      <c r="W93" s="894"/>
      <c r="X93" s="894">
        <f>I93/L93</f>
        <v>27</v>
      </c>
      <c r="Y93" s="885">
        <f t="shared" si="23"/>
        <v>80</v>
      </c>
      <c r="Z93" s="224"/>
      <c r="AA93" s="224">
        <f t="shared" si="20"/>
        <v>367.2</v>
      </c>
      <c r="AB93" s="1"/>
      <c r="AC93" s="1"/>
      <c r="AD93" s="202">
        <f t="shared" si="24"/>
        <v>80</v>
      </c>
      <c r="AE93" s="295">
        <f t="shared" si="26"/>
        <v>14739.244700084502</v>
      </c>
      <c r="AF93" s="892">
        <f t="shared" si="25"/>
        <v>80</v>
      </c>
    </row>
    <row r="94" spans="1:32" ht="13.5" thickBot="1" x14ac:dyDescent="0.25">
      <c r="A94" s="893">
        <v>85</v>
      </c>
      <c r="B94" s="12" t="s">
        <v>1450</v>
      </c>
      <c r="C94" s="1"/>
      <c r="D94" s="1">
        <v>54</v>
      </c>
      <c r="E94" s="1" t="s">
        <v>1403</v>
      </c>
      <c r="F94" s="1" t="s">
        <v>1429</v>
      </c>
      <c r="G94" s="85" t="s">
        <v>308</v>
      </c>
      <c r="H94" s="885">
        <f t="shared" si="16"/>
        <v>1</v>
      </c>
      <c r="I94" s="1">
        <v>324</v>
      </c>
      <c r="J94" s="44"/>
      <c r="K94" s="886">
        <f t="shared" si="17"/>
        <v>1</v>
      </c>
      <c r="L94" s="1">
        <v>324</v>
      </c>
      <c r="M94" s="885">
        <f t="shared" si="15"/>
        <v>13.42</v>
      </c>
      <c r="N94" s="885">
        <v>10</v>
      </c>
      <c r="O94" s="1">
        <v>1.36</v>
      </c>
      <c r="P94" s="1"/>
      <c r="Q94" s="385" t="s">
        <v>234</v>
      </c>
      <c r="R94" s="226">
        <f t="shared" si="19"/>
        <v>4.0983606557377046</v>
      </c>
      <c r="S94" s="251">
        <v>55</v>
      </c>
      <c r="T94" s="202">
        <f>'PRECIOS INSUMOS 2015'!C$5</f>
        <v>2</v>
      </c>
      <c r="U94" s="202">
        <f t="shared" si="21"/>
        <v>8.1967213114754092</v>
      </c>
      <c r="V94" s="885">
        <f t="shared" si="22"/>
        <v>7.4515648286140088E-2</v>
      </c>
      <c r="W94" s="894">
        <f>I94/L94</f>
        <v>1</v>
      </c>
      <c r="X94" s="894"/>
      <c r="Y94" s="885">
        <f t="shared" si="23"/>
        <v>5.9612518628912072</v>
      </c>
      <c r="Z94" s="224">
        <f t="shared" si="18"/>
        <v>10.88</v>
      </c>
      <c r="AA94" s="224"/>
      <c r="AB94" s="1"/>
      <c r="AC94" s="1"/>
      <c r="AD94" s="202">
        <f t="shared" si="24"/>
        <v>14.157973174366617</v>
      </c>
      <c r="AE94" s="295">
        <f t="shared" si="26"/>
        <v>14753.402673258868</v>
      </c>
      <c r="AF94" s="892">
        <f t="shared" si="25"/>
        <v>14.157973174366617</v>
      </c>
    </row>
    <row r="95" spans="1:32" ht="13.5" thickBot="1" x14ac:dyDescent="0.25">
      <c r="A95" s="893">
        <v>86</v>
      </c>
      <c r="B95" s="12" t="s">
        <v>1451</v>
      </c>
      <c r="C95" s="1"/>
      <c r="D95" s="1">
        <v>54</v>
      </c>
      <c r="E95" s="1"/>
      <c r="F95" s="1"/>
      <c r="G95" s="85" t="s">
        <v>308</v>
      </c>
      <c r="H95" s="885">
        <f t="shared" si="16"/>
        <v>1</v>
      </c>
      <c r="I95" s="1">
        <v>324</v>
      </c>
      <c r="J95" s="44"/>
      <c r="K95" s="886">
        <f t="shared" si="17"/>
        <v>1</v>
      </c>
      <c r="L95" s="1">
        <v>324</v>
      </c>
      <c r="M95" s="885">
        <f t="shared" si="15"/>
        <v>13.42</v>
      </c>
      <c r="N95" s="885">
        <v>10</v>
      </c>
      <c r="O95" s="1"/>
      <c r="P95" s="1">
        <v>1.7</v>
      </c>
      <c r="Q95" s="385" t="s">
        <v>1452</v>
      </c>
      <c r="R95" s="226">
        <f t="shared" si="19"/>
        <v>3.8420268256333832</v>
      </c>
      <c r="S95" s="251">
        <v>51.56</v>
      </c>
      <c r="T95" s="18">
        <f>'PRECIOS INSUMOS 2015'!H$29</f>
        <v>20</v>
      </c>
      <c r="U95" s="202">
        <f t="shared" si="21"/>
        <v>76.840536512667668</v>
      </c>
      <c r="V95" s="885">
        <f t="shared" si="22"/>
        <v>7.4515648286140088E-2</v>
      </c>
      <c r="W95" s="894"/>
      <c r="X95" s="894">
        <v>1</v>
      </c>
      <c r="Y95" s="885">
        <f t="shared" si="23"/>
        <v>5.9612518628912072</v>
      </c>
      <c r="Z95" s="224"/>
      <c r="AA95" s="224">
        <f t="shared" si="20"/>
        <v>13.6</v>
      </c>
      <c r="AB95" s="1"/>
      <c r="AC95" s="1"/>
      <c r="AD95" s="202">
        <f t="shared" si="24"/>
        <v>82.801788375558871</v>
      </c>
      <c r="AE95" s="295">
        <f t="shared" si="26"/>
        <v>14836.204461634426</v>
      </c>
      <c r="AF95" s="892">
        <f t="shared" si="25"/>
        <v>82.801788375558871</v>
      </c>
    </row>
    <row r="96" spans="1:32" ht="13.5" thickBot="1" x14ac:dyDescent="0.25">
      <c r="A96" s="893">
        <v>87</v>
      </c>
      <c r="B96" s="12" t="s">
        <v>1444</v>
      </c>
      <c r="C96" s="1"/>
      <c r="D96" s="1">
        <v>55</v>
      </c>
      <c r="E96" s="1" t="s">
        <v>1403</v>
      </c>
      <c r="F96" s="1" t="s">
        <v>1429</v>
      </c>
      <c r="G96" s="85" t="s">
        <v>308</v>
      </c>
      <c r="H96" s="885">
        <f t="shared" si="16"/>
        <v>1</v>
      </c>
      <c r="I96" s="1">
        <v>324</v>
      </c>
      <c r="J96" s="44"/>
      <c r="K96" s="886">
        <f t="shared" si="17"/>
        <v>1</v>
      </c>
      <c r="L96" s="1">
        <v>324</v>
      </c>
      <c r="M96" s="885">
        <f t="shared" si="15"/>
        <v>13.42</v>
      </c>
      <c r="N96" s="885">
        <v>10</v>
      </c>
      <c r="O96" s="1">
        <v>1.36</v>
      </c>
      <c r="P96" s="1"/>
      <c r="Q96" s="385" t="s">
        <v>234</v>
      </c>
      <c r="R96" s="226">
        <f t="shared" si="19"/>
        <v>4.0983606557377046</v>
      </c>
      <c r="S96" s="251">
        <v>55</v>
      </c>
      <c r="T96" s="202">
        <f>'PRECIOS INSUMOS 2015'!C$5</f>
        <v>2</v>
      </c>
      <c r="U96" s="202">
        <f t="shared" si="21"/>
        <v>8.1967213114754092</v>
      </c>
      <c r="V96" s="885">
        <f t="shared" si="22"/>
        <v>7.4515648286140088E-2</v>
      </c>
      <c r="W96" s="894">
        <f>I96/L96</f>
        <v>1</v>
      </c>
      <c r="X96" s="894"/>
      <c r="Y96" s="885">
        <f t="shared" si="23"/>
        <v>5.9612518628912072</v>
      </c>
      <c r="Z96" s="224">
        <f t="shared" si="18"/>
        <v>10.88</v>
      </c>
      <c r="AA96" s="224"/>
      <c r="AB96" s="1"/>
      <c r="AC96" s="1"/>
      <c r="AD96" s="202">
        <f t="shared" si="24"/>
        <v>14.157973174366617</v>
      </c>
      <c r="AE96" s="295">
        <f t="shared" si="26"/>
        <v>14850.362434808792</v>
      </c>
      <c r="AF96" s="892">
        <f t="shared" si="25"/>
        <v>14.157973174366617</v>
      </c>
    </row>
    <row r="97" spans="1:32" ht="13.5" thickBot="1" x14ac:dyDescent="0.25">
      <c r="A97" s="893">
        <v>88</v>
      </c>
      <c r="B97" s="12" t="s">
        <v>1445</v>
      </c>
      <c r="C97" s="1"/>
      <c r="D97" s="1">
        <v>55</v>
      </c>
      <c r="E97" s="1"/>
      <c r="F97" s="1"/>
      <c r="G97" s="85" t="s">
        <v>308</v>
      </c>
      <c r="H97" s="885">
        <f t="shared" si="16"/>
        <v>1</v>
      </c>
      <c r="I97" s="1">
        <v>324</v>
      </c>
      <c r="J97" s="44"/>
      <c r="K97" s="886">
        <f t="shared" si="17"/>
        <v>1</v>
      </c>
      <c r="L97" s="1">
        <v>324</v>
      </c>
      <c r="M97" s="885">
        <f t="shared" si="15"/>
        <v>13.42</v>
      </c>
      <c r="N97" s="885">
        <v>10</v>
      </c>
      <c r="O97" s="1"/>
      <c r="P97" s="1">
        <v>1.7</v>
      </c>
      <c r="Q97" s="385" t="s">
        <v>978</v>
      </c>
      <c r="R97" s="226">
        <f t="shared" si="19"/>
        <v>2.5</v>
      </c>
      <c r="S97" s="251">
        <f>2.5*13.42</f>
        <v>33.549999999999997</v>
      </c>
      <c r="T97" s="18">
        <f>'PRECIOS INSUMOS 2015'!H$21</f>
        <v>12</v>
      </c>
      <c r="U97" s="202">
        <f t="shared" si="21"/>
        <v>30</v>
      </c>
      <c r="V97" s="885">
        <f t="shared" si="22"/>
        <v>7.4515648286140088E-2</v>
      </c>
      <c r="W97" s="894"/>
      <c r="X97" s="894">
        <v>1</v>
      </c>
      <c r="Y97" s="885">
        <f t="shared" si="23"/>
        <v>5.9612518628912072</v>
      </c>
      <c r="Z97" s="224"/>
      <c r="AA97" s="224">
        <f t="shared" si="20"/>
        <v>13.6</v>
      </c>
      <c r="AB97" s="1"/>
      <c r="AC97" s="1"/>
      <c r="AD97" s="202">
        <f t="shared" si="24"/>
        <v>35.96125186289121</v>
      </c>
      <c r="AE97" s="295">
        <f t="shared" si="26"/>
        <v>14886.323686671683</v>
      </c>
      <c r="AF97" s="892">
        <f t="shared" si="25"/>
        <v>35.96125186289121</v>
      </c>
    </row>
    <row r="98" spans="1:32" ht="13.5" thickBot="1" x14ac:dyDescent="0.25">
      <c r="A98" s="893">
        <v>89</v>
      </c>
      <c r="B98" s="12" t="s">
        <v>365</v>
      </c>
      <c r="C98" s="1"/>
      <c r="D98" s="1">
        <v>57</v>
      </c>
      <c r="E98" s="1" t="s">
        <v>1419</v>
      </c>
      <c r="F98" s="1" t="s">
        <v>1420</v>
      </c>
      <c r="G98" s="85" t="s">
        <v>308</v>
      </c>
      <c r="H98" s="885">
        <f t="shared" si="16"/>
        <v>1</v>
      </c>
      <c r="I98" s="1">
        <v>324</v>
      </c>
      <c r="J98" s="44"/>
      <c r="K98" s="886">
        <f t="shared" si="17"/>
        <v>0.39506172839506171</v>
      </c>
      <c r="L98" s="1">
        <v>128</v>
      </c>
      <c r="M98" s="885">
        <f t="shared" si="15"/>
        <v>5.301728395061728</v>
      </c>
      <c r="N98" s="885">
        <v>10</v>
      </c>
      <c r="O98" s="1">
        <v>1.7</v>
      </c>
      <c r="P98" s="1"/>
      <c r="Q98" s="385" t="s">
        <v>283</v>
      </c>
      <c r="R98" s="226">
        <v>0.35</v>
      </c>
      <c r="S98" s="251">
        <v>3355</v>
      </c>
      <c r="T98" s="18">
        <v>18</v>
      </c>
      <c r="U98" s="202">
        <f t="shared" si="21"/>
        <v>6.3</v>
      </c>
      <c r="V98" s="885">
        <f t="shared" si="22"/>
        <v>0.18861773472429211</v>
      </c>
      <c r="W98" s="894">
        <f>I98/L98</f>
        <v>2.53125</v>
      </c>
      <c r="X98" s="894"/>
      <c r="Y98" s="885">
        <f t="shared" si="23"/>
        <v>15.089418777943369</v>
      </c>
      <c r="Z98" s="224">
        <f t="shared" si="18"/>
        <v>34.424999999999997</v>
      </c>
      <c r="AA98" s="224"/>
      <c r="AB98" s="1">
        <v>242.9</v>
      </c>
      <c r="AC98" s="1"/>
      <c r="AD98" s="202">
        <f t="shared" si="24"/>
        <v>21.389418777943369</v>
      </c>
      <c r="AE98" s="295">
        <f t="shared" si="26"/>
        <v>14907.713105449628</v>
      </c>
      <c r="AF98" s="892">
        <f t="shared" si="25"/>
        <v>21.389418777943369</v>
      </c>
    </row>
    <row r="99" spans="1:32" ht="13.5" thickBot="1" x14ac:dyDescent="0.25">
      <c r="A99" s="893">
        <v>90</v>
      </c>
      <c r="B99" s="12" t="s">
        <v>1433</v>
      </c>
      <c r="C99" s="1"/>
      <c r="D99" s="1">
        <v>57</v>
      </c>
      <c r="E99" s="1" t="s">
        <v>266</v>
      </c>
      <c r="F99" s="1" t="s">
        <v>1297</v>
      </c>
      <c r="G99" s="85" t="s">
        <v>308</v>
      </c>
      <c r="H99" s="885">
        <f t="shared" si="16"/>
        <v>1</v>
      </c>
      <c r="I99" s="1">
        <v>324</v>
      </c>
      <c r="J99" s="44"/>
      <c r="K99" s="886">
        <f t="shared" si="17"/>
        <v>3.7037037037037035E-2</v>
      </c>
      <c r="L99" s="1">
        <v>12</v>
      </c>
      <c r="M99" s="885">
        <v>1</v>
      </c>
      <c r="N99" s="885">
        <v>10</v>
      </c>
      <c r="O99" s="1"/>
      <c r="P99" s="1">
        <v>1.7</v>
      </c>
      <c r="Q99" s="385"/>
      <c r="R99" s="226">
        <f t="shared" si="19"/>
        <v>0</v>
      </c>
      <c r="S99" s="251"/>
      <c r="T99" s="57"/>
      <c r="U99" s="202">
        <f t="shared" si="21"/>
        <v>0</v>
      </c>
      <c r="V99" s="885">
        <f t="shared" si="22"/>
        <v>1</v>
      </c>
      <c r="W99" s="894"/>
      <c r="X99" s="894">
        <f>I99/L99</f>
        <v>27</v>
      </c>
      <c r="Y99" s="885">
        <f t="shared" si="23"/>
        <v>80</v>
      </c>
      <c r="Z99" s="224"/>
      <c r="AA99" s="224">
        <f t="shared" si="20"/>
        <v>367.2</v>
      </c>
      <c r="AB99" s="1"/>
      <c r="AC99" s="1"/>
      <c r="AD99" s="202">
        <f t="shared" si="24"/>
        <v>80</v>
      </c>
      <c r="AE99" s="295">
        <f t="shared" si="26"/>
        <v>14987.713105449628</v>
      </c>
      <c r="AF99" s="892">
        <f t="shared" si="25"/>
        <v>80</v>
      </c>
    </row>
    <row r="100" spans="1:32" ht="13.5" thickBot="1" x14ac:dyDescent="0.25">
      <c r="A100" s="893">
        <v>91</v>
      </c>
      <c r="B100" s="12" t="s">
        <v>1444</v>
      </c>
      <c r="C100" s="1"/>
      <c r="D100" s="1">
        <v>60</v>
      </c>
      <c r="E100" s="1" t="s">
        <v>1403</v>
      </c>
      <c r="F100" s="1" t="s">
        <v>1429</v>
      </c>
      <c r="G100" s="85" t="s">
        <v>308</v>
      </c>
      <c r="H100" s="885">
        <f t="shared" si="16"/>
        <v>1</v>
      </c>
      <c r="I100" s="1">
        <v>324</v>
      </c>
      <c r="J100" s="44"/>
      <c r="K100" s="886">
        <f t="shared" si="17"/>
        <v>1</v>
      </c>
      <c r="L100" s="1">
        <v>324</v>
      </c>
      <c r="M100" s="885">
        <f t="shared" si="15"/>
        <v>13.42</v>
      </c>
      <c r="N100" s="885">
        <v>10</v>
      </c>
      <c r="O100" s="1">
        <v>1.36</v>
      </c>
      <c r="P100" s="1"/>
      <c r="Q100" s="385" t="s">
        <v>234</v>
      </c>
      <c r="R100" s="226">
        <f t="shared" si="19"/>
        <v>4.0983606557377046</v>
      </c>
      <c r="S100" s="251">
        <v>55</v>
      </c>
      <c r="T100" s="202">
        <f>'PRECIOS INSUMOS 2015'!C$5</f>
        <v>2</v>
      </c>
      <c r="U100" s="202">
        <f t="shared" si="21"/>
        <v>8.1967213114754092</v>
      </c>
      <c r="V100" s="885">
        <f t="shared" si="22"/>
        <v>7.4515648286140088E-2</v>
      </c>
      <c r="W100" s="894">
        <f>I100/L100</f>
        <v>1</v>
      </c>
      <c r="X100" s="894"/>
      <c r="Y100" s="885">
        <f t="shared" si="23"/>
        <v>5.9612518628912072</v>
      </c>
      <c r="Z100" s="224">
        <f t="shared" si="18"/>
        <v>10.88</v>
      </c>
      <c r="AA100" s="224"/>
      <c r="AB100" s="1"/>
      <c r="AC100" s="1"/>
      <c r="AD100" s="202">
        <f t="shared" si="24"/>
        <v>14.157973174366617</v>
      </c>
      <c r="AE100" s="295">
        <f t="shared" si="26"/>
        <v>15001.871078623994</v>
      </c>
      <c r="AF100" s="892">
        <f t="shared" si="25"/>
        <v>14.157973174366617</v>
      </c>
    </row>
    <row r="101" spans="1:32" ht="13.5" thickBot="1" x14ac:dyDescent="0.25">
      <c r="A101" s="893">
        <v>92</v>
      </c>
      <c r="B101" s="12" t="s">
        <v>1445</v>
      </c>
      <c r="C101" s="1"/>
      <c r="D101" s="1">
        <v>60</v>
      </c>
      <c r="E101" s="1"/>
      <c r="F101" s="1"/>
      <c r="G101" s="85" t="s">
        <v>308</v>
      </c>
      <c r="H101" s="885">
        <f t="shared" si="16"/>
        <v>1</v>
      </c>
      <c r="I101" s="1">
        <v>324</v>
      </c>
      <c r="J101" s="44"/>
      <c r="K101" s="886">
        <f t="shared" si="17"/>
        <v>1</v>
      </c>
      <c r="L101" s="1">
        <v>324</v>
      </c>
      <c r="M101" s="885">
        <f t="shared" si="15"/>
        <v>13.42</v>
      </c>
      <c r="N101" s="885">
        <v>10</v>
      </c>
      <c r="O101" s="1"/>
      <c r="P101" s="1">
        <v>1.7</v>
      </c>
      <c r="Q101" s="385" t="s">
        <v>978</v>
      </c>
      <c r="R101" s="226">
        <f t="shared" si="19"/>
        <v>2.5</v>
      </c>
      <c r="S101" s="251">
        <f>2.5*13.42</f>
        <v>33.549999999999997</v>
      </c>
      <c r="T101" s="18">
        <f>'PRECIOS INSUMOS 2015'!H$21</f>
        <v>12</v>
      </c>
      <c r="U101" s="202">
        <f t="shared" si="21"/>
        <v>30</v>
      </c>
      <c r="V101" s="885">
        <f t="shared" si="22"/>
        <v>7.4515648286140088E-2</v>
      </c>
      <c r="W101" s="894"/>
      <c r="X101" s="894">
        <v>1</v>
      </c>
      <c r="Y101" s="885">
        <f t="shared" si="23"/>
        <v>5.9612518628912072</v>
      </c>
      <c r="Z101" s="224"/>
      <c r="AA101" s="224">
        <f t="shared" si="20"/>
        <v>13.6</v>
      </c>
      <c r="AB101" s="1"/>
      <c r="AC101" s="1"/>
      <c r="AD101" s="202">
        <f t="shared" si="24"/>
        <v>35.96125186289121</v>
      </c>
      <c r="AE101" s="295">
        <f t="shared" si="26"/>
        <v>15037.832330486885</v>
      </c>
      <c r="AF101" s="892">
        <f t="shared" si="25"/>
        <v>35.96125186289121</v>
      </c>
    </row>
    <row r="102" spans="1:32" ht="13.5" thickBot="1" x14ac:dyDescent="0.25">
      <c r="A102" s="893">
        <v>93</v>
      </c>
      <c r="B102" s="12" t="s">
        <v>1445</v>
      </c>
      <c r="C102" s="1"/>
      <c r="D102" s="1">
        <v>60</v>
      </c>
      <c r="E102" s="1"/>
      <c r="F102" s="1"/>
      <c r="G102" s="85" t="s">
        <v>308</v>
      </c>
      <c r="H102" s="885">
        <f t="shared" si="16"/>
        <v>1</v>
      </c>
      <c r="I102" s="1">
        <v>324</v>
      </c>
      <c r="J102" s="44"/>
      <c r="K102" s="886">
        <f t="shared" si="17"/>
        <v>1</v>
      </c>
      <c r="L102" s="1">
        <v>324</v>
      </c>
      <c r="M102" s="885">
        <f t="shared" si="15"/>
        <v>13.42</v>
      </c>
      <c r="N102" s="885">
        <v>10</v>
      </c>
      <c r="O102" s="1"/>
      <c r="P102" s="1">
        <v>1.7</v>
      </c>
      <c r="Q102" s="385" t="s">
        <v>981</v>
      </c>
      <c r="R102" s="226">
        <f t="shared" si="19"/>
        <v>2.5</v>
      </c>
      <c r="S102" s="251">
        <f>2.5*13.42</f>
        <v>33.549999999999997</v>
      </c>
      <c r="T102" s="18">
        <f>'PRECIOS INSUMOS 2015'!C$70</f>
        <v>60</v>
      </c>
      <c r="U102" s="202">
        <f t="shared" si="21"/>
        <v>150</v>
      </c>
      <c r="V102" s="885">
        <f t="shared" si="22"/>
        <v>7.4515648286140088E-2</v>
      </c>
      <c r="W102" s="894"/>
      <c r="X102" s="894">
        <v>1</v>
      </c>
      <c r="Y102" s="885">
        <f t="shared" si="23"/>
        <v>5.9612518628912072</v>
      </c>
      <c r="Z102" s="224"/>
      <c r="AA102" s="224">
        <f t="shared" si="20"/>
        <v>13.6</v>
      </c>
      <c r="AB102" s="1"/>
      <c r="AC102" s="1"/>
      <c r="AD102" s="202">
        <f t="shared" si="24"/>
        <v>155.9612518628912</v>
      </c>
      <c r="AE102" s="295">
        <f t="shared" si="26"/>
        <v>15193.793582349776</v>
      </c>
      <c r="AF102" s="892">
        <f t="shared" si="25"/>
        <v>155.9612518628912</v>
      </c>
    </row>
    <row r="103" spans="1:32" ht="13.5" thickBot="1" x14ac:dyDescent="0.25">
      <c r="A103" s="893">
        <v>94</v>
      </c>
      <c r="B103" s="12" t="s">
        <v>1448</v>
      </c>
      <c r="C103" s="1"/>
      <c r="D103" s="1">
        <v>60</v>
      </c>
      <c r="E103" s="1" t="s">
        <v>1403</v>
      </c>
      <c r="F103" s="1" t="s">
        <v>1429</v>
      </c>
      <c r="G103" s="85" t="s">
        <v>308</v>
      </c>
      <c r="H103" s="885">
        <f t="shared" si="16"/>
        <v>1</v>
      </c>
      <c r="I103" s="1">
        <v>324</v>
      </c>
      <c r="J103" s="44"/>
      <c r="K103" s="886">
        <f t="shared" si="17"/>
        <v>1</v>
      </c>
      <c r="L103" s="1">
        <v>324</v>
      </c>
      <c r="M103" s="885">
        <f t="shared" si="15"/>
        <v>13.42</v>
      </c>
      <c r="N103" s="885">
        <v>10</v>
      </c>
      <c r="O103" s="1">
        <v>1.36</v>
      </c>
      <c r="P103" s="1"/>
      <c r="Q103" s="385" t="s">
        <v>234</v>
      </c>
      <c r="R103" s="226">
        <f t="shared" si="19"/>
        <v>4.0983606557377046</v>
      </c>
      <c r="S103" s="251">
        <v>55</v>
      </c>
      <c r="T103" s="202">
        <f>'PRECIOS INSUMOS 2015'!C$5</f>
        <v>2</v>
      </c>
      <c r="U103" s="202">
        <f t="shared" si="21"/>
        <v>8.1967213114754092</v>
      </c>
      <c r="V103" s="885">
        <f t="shared" si="22"/>
        <v>7.4515648286140088E-2</v>
      </c>
      <c r="W103" s="894">
        <f>I103/L103</f>
        <v>1</v>
      </c>
      <c r="X103" s="894"/>
      <c r="Y103" s="885">
        <f t="shared" si="23"/>
        <v>5.9612518628912072</v>
      </c>
      <c r="Z103" s="224">
        <f t="shared" si="18"/>
        <v>10.88</v>
      </c>
      <c r="AA103" s="224"/>
      <c r="AB103" s="1"/>
      <c r="AC103" s="1"/>
      <c r="AD103" s="202">
        <f t="shared" si="24"/>
        <v>14.157973174366617</v>
      </c>
      <c r="AE103" s="295">
        <f t="shared" si="26"/>
        <v>15207.951555524141</v>
      </c>
      <c r="AF103" s="892">
        <f t="shared" si="25"/>
        <v>14.157973174366617</v>
      </c>
    </row>
    <row r="104" spans="1:32" ht="13.5" thickBot="1" x14ac:dyDescent="0.25">
      <c r="A104" s="893">
        <v>95</v>
      </c>
      <c r="B104" s="12" t="s">
        <v>1449</v>
      </c>
      <c r="C104" s="1"/>
      <c r="D104" s="1">
        <v>60</v>
      </c>
      <c r="E104" s="1"/>
      <c r="F104" s="1"/>
      <c r="G104" s="85" t="s">
        <v>308</v>
      </c>
      <c r="H104" s="885">
        <f t="shared" si="16"/>
        <v>1</v>
      </c>
      <c r="I104" s="1">
        <v>324</v>
      </c>
      <c r="J104" s="44"/>
      <c r="K104" s="886">
        <f t="shared" si="17"/>
        <v>1</v>
      </c>
      <c r="L104" s="1">
        <v>324</v>
      </c>
      <c r="M104" s="885">
        <f t="shared" si="15"/>
        <v>13.42</v>
      </c>
      <c r="N104" s="885">
        <v>10</v>
      </c>
      <c r="O104" s="1"/>
      <c r="P104" s="1">
        <v>1.7</v>
      </c>
      <c r="Q104" s="385" t="s">
        <v>982</v>
      </c>
      <c r="R104" s="226">
        <f t="shared" si="19"/>
        <v>0.4</v>
      </c>
      <c r="S104" s="251">
        <f>0.4*13.42</f>
        <v>5.3680000000000003</v>
      </c>
      <c r="T104" s="18">
        <f>'PRECIOS INSUMOS 2015'!C$38</f>
        <v>350</v>
      </c>
      <c r="U104" s="202">
        <f t="shared" si="21"/>
        <v>140</v>
      </c>
      <c r="V104" s="885">
        <f t="shared" si="22"/>
        <v>7.4515648286140088E-2</v>
      </c>
      <c r="W104" s="894"/>
      <c r="X104" s="894">
        <v>1</v>
      </c>
      <c r="Y104" s="885">
        <f t="shared" si="23"/>
        <v>5.9612518628912072</v>
      </c>
      <c r="Z104" s="224"/>
      <c r="AA104" s="224">
        <f t="shared" si="20"/>
        <v>13.6</v>
      </c>
      <c r="AB104" s="1"/>
      <c r="AC104" s="1"/>
      <c r="AD104" s="202">
        <f t="shared" si="24"/>
        <v>145.9612518628912</v>
      </c>
      <c r="AE104" s="295">
        <f t="shared" si="26"/>
        <v>15353.912807387032</v>
      </c>
      <c r="AF104" s="892">
        <f t="shared" si="25"/>
        <v>145.9612518628912</v>
      </c>
    </row>
    <row r="105" spans="1:32" ht="13.5" thickBot="1" x14ac:dyDescent="0.25">
      <c r="A105" s="893">
        <v>96</v>
      </c>
      <c r="B105" s="12" t="s">
        <v>365</v>
      </c>
      <c r="C105" s="1"/>
      <c r="D105" s="1">
        <v>62</v>
      </c>
      <c r="E105" s="1" t="s">
        <v>1419</v>
      </c>
      <c r="F105" s="1" t="s">
        <v>1420</v>
      </c>
      <c r="G105" s="85" t="s">
        <v>308</v>
      </c>
      <c r="H105" s="885">
        <f t="shared" si="16"/>
        <v>1</v>
      </c>
      <c r="I105" s="1">
        <v>324</v>
      </c>
      <c r="J105" s="44"/>
      <c r="K105" s="886">
        <f t="shared" si="17"/>
        <v>0.39506172839506171</v>
      </c>
      <c r="L105" s="1">
        <v>128</v>
      </c>
      <c r="M105" s="885">
        <f t="shared" si="15"/>
        <v>5.301728395061728</v>
      </c>
      <c r="N105" s="885">
        <v>10</v>
      </c>
      <c r="O105" s="1">
        <v>1.7</v>
      </c>
      <c r="P105" s="1"/>
      <c r="Q105" s="385" t="s">
        <v>283</v>
      </c>
      <c r="R105" s="226">
        <v>0.35</v>
      </c>
      <c r="S105" s="251">
        <v>3355</v>
      </c>
      <c r="T105" s="18">
        <v>18</v>
      </c>
      <c r="U105" s="202">
        <f t="shared" si="21"/>
        <v>6.3</v>
      </c>
      <c r="V105" s="885">
        <f t="shared" si="22"/>
        <v>0.18861773472429211</v>
      </c>
      <c r="W105" s="894">
        <f>I105/L105</f>
        <v>2.53125</v>
      </c>
      <c r="X105" s="894"/>
      <c r="Y105" s="885">
        <f t="shared" si="23"/>
        <v>15.089418777943369</v>
      </c>
      <c r="Z105" s="224">
        <f t="shared" si="18"/>
        <v>34.424999999999997</v>
      </c>
      <c r="AA105" s="224"/>
      <c r="AB105" s="1">
        <v>242.9</v>
      </c>
      <c r="AC105" s="1"/>
      <c r="AD105" s="202">
        <f t="shared" si="24"/>
        <v>21.389418777943369</v>
      </c>
      <c r="AE105" s="295">
        <f t="shared" si="26"/>
        <v>15375.302226164977</v>
      </c>
      <c r="AF105" s="892">
        <f t="shared" si="25"/>
        <v>21.389418777943369</v>
      </c>
    </row>
    <row r="106" spans="1:32" ht="13.5" thickBot="1" x14ac:dyDescent="0.25">
      <c r="A106" s="893">
        <v>97</v>
      </c>
      <c r="B106" s="12" t="s">
        <v>1433</v>
      </c>
      <c r="C106" s="1"/>
      <c r="D106" s="1">
        <v>62</v>
      </c>
      <c r="E106" s="1" t="s">
        <v>266</v>
      </c>
      <c r="F106" s="1" t="s">
        <v>1297</v>
      </c>
      <c r="G106" s="85" t="s">
        <v>308</v>
      </c>
      <c r="H106" s="885">
        <f t="shared" si="16"/>
        <v>1</v>
      </c>
      <c r="I106" s="1">
        <v>324</v>
      </c>
      <c r="J106" s="44"/>
      <c r="K106" s="886">
        <f t="shared" si="17"/>
        <v>3.7037037037037035E-2</v>
      </c>
      <c r="L106" s="1">
        <v>12</v>
      </c>
      <c r="M106" s="885">
        <v>1</v>
      </c>
      <c r="N106" s="885">
        <v>10</v>
      </c>
      <c r="O106" s="1"/>
      <c r="P106" s="1">
        <v>1.7</v>
      </c>
      <c r="Q106" s="385"/>
      <c r="R106" s="226">
        <f t="shared" si="19"/>
        <v>0</v>
      </c>
      <c r="S106" s="251"/>
      <c r="T106" s="57"/>
      <c r="U106" s="202">
        <f t="shared" si="21"/>
        <v>0</v>
      </c>
      <c r="V106" s="885">
        <f t="shared" si="22"/>
        <v>1</v>
      </c>
      <c r="W106" s="894"/>
      <c r="X106" s="894">
        <f>I106/L106</f>
        <v>27</v>
      </c>
      <c r="Y106" s="885">
        <f t="shared" si="23"/>
        <v>80</v>
      </c>
      <c r="Z106" s="224"/>
      <c r="AA106" s="224">
        <f t="shared" si="20"/>
        <v>367.2</v>
      </c>
      <c r="AB106" s="1"/>
      <c r="AC106" s="1"/>
      <c r="AD106" s="202">
        <f t="shared" si="24"/>
        <v>80</v>
      </c>
      <c r="AE106" s="295">
        <f t="shared" si="26"/>
        <v>15455.302226164977</v>
      </c>
      <c r="AF106" s="892">
        <f t="shared" si="25"/>
        <v>80</v>
      </c>
    </row>
    <row r="107" spans="1:32" ht="13.5" thickBot="1" x14ac:dyDescent="0.25">
      <c r="A107" s="893">
        <v>98</v>
      </c>
      <c r="B107" s="12" t="s">
        <v>1450</v>
      </c>
      <c r="C107" s="1"/>
      <c r="D107" s="1">
        <v>64</v>
      </c>
      <c r="E107" s="1" t="s">
        <v>1403</v>
      </c>
      <c r="F107" s="1" t="s">
        <v>1429</v>
      </c>
      <c r="G107" s="85" t="s">
        <v>308</v>
      </c>
      <c r="H107" s="885">
        <f t="shared" si="16"/>
        <v>1</v>
      </c>
      <c r="I107" s="1">
        <v>324</v>
      </c>
      <c r="J107" s="44"/>
      <c r="K107" s="886">
        <f t="shared" si="17"/>
        <v>1</v>
      </c>
      <c r="L107" s="1">
        <v>324</v>
      </c>
      <c r="M107" s="885">
        <f t="shared" si="15"/>
        <v>13.42</v>
      </c>
      <c r="N107" s="885">
        <v>10</v>
      </c>
      <c r="O107" s="1">
        <v>1.36</v>
      </c>
      <c r="P107" s="1"/>
      <c r="Q107" s="385" t="s">
        <v>234</v>
      </c>
      <c r="R107" s="226">
        <f t="shared" si="19"/>
        <v>4.0983606557377046</v>
      </c>
      <c r="S107" s="251">
        <v>55</v>
      </c>
      <c r="T107" s="202">
        <f>'PRECIOS INSUMOS 2015'!C$5</f>
        <v>2</v>
      </c>
      <c r="U107" s="202">
        <f t="shared" si="21"/>
        <v>8.1967213114754092</v>
      </c>
      <c r="V107" s="885">
        <f t="shared" si="22"/>
        <v>7.4515648286140088E-2</v>
      </c>
      <c r="W107" s="894">
        <f>I107/L107</f>
        <v>1</v>
      </c>
      <c r="X107" s="894"/>
      <c r="Y107" s="885">
        <f t="shared" si="23"/>
        <v>5.9612518628912072</v>
      </c>
      <c r="Z107" s="224">
        <f t="shared" si="18"/>
        <v>10.88</v>
      </c>
      <c r="AA107" s="224"/>
      <c r="AB107" s="1"/>
      <c r="AC107" s="1"/>
      <c r="AD107" s="202">
        <f t="shared" si="24"/>
        <v>14.157973174366617</v>
      </c>
      <c r="AE107" s="295">
        <f t="shared" si="26"/>
        <v>15469.460199339343</v>
      </c>
      <c r="AF107" s="892">
        <f t="shared" si="25"/>
        <v>14.157973174366617</v>
      </c>
    </row>
    <row r="108" spans="1:32" ht="13.5" thickBot="1" x14ac:dyDescent="0.25">
      <c r="A108" s="893">
        <v>99</v>
      </c>
      <c r="B108" s="12" t="s">
        <v>1451</v>
      </c>
      <c r="C108" s="1"/>
      <c r="D108" s="1">
        <v>64</v>
      </c>
      <c r="E108" s="1"/>
      <c r="F108" s="1"/>
      <c r="G108" s="85" t="s">
        <v>308</v>
      </c>
      <c r="H108" s="885">
        <f t="shared" si="16"/>
        <v>1</v>
      </c>
      <c r="I108" s="1">
        <v>324</v>
      </c>
      <c r="J108" s="44"/>
      <c r="K108" s="886">
        <f t="shared" si="17"/>
        <v>1</v>
      </c>
      <c r="L108" s="1">
        <v>324</v>
      </c>
      <c r="M108" s="885">
        <f t="shared" si="15"/>
        <v>13.42</v>
      </c>
      <c r="N108" s="885">
        <v>10</v>
      </c>
      <c r="O108" s="1"/>
      <c r="P108" s="1">
        <v>1.7</v>
      </c>
      <c r="Q108" s="385" t="s">
        <v>1452</v>
      </c>
      <c r="R108" s="226">
        <f t="shared" si="19"/>
        <v>3.8420268256333832</v>
      </c>
      <c r="S108" s="251">
        <v>51.56</v>
      </c>
      <c r="T108" s="18">
        <f>'PRECIOS INSUMOS 2015'!H$29</f>
        <v>20</v>
      </c>
      <c r="U108" s="202">
        <f t="shared" si="21"/>
        <v>76.840536512667668</v>
      </c>
      <c r="V108" s="885">
        <f t="shared" si="22"/>
        <v>7.4515648286140088E-2</v>
      </c>
      <c r="W108" s="894"/>
      <c r="X108" s="894">
        <v>1</v>
      </c>
      <c r="Y108" s="885">
        <f t="shared" si="23"/>
        <v>5.9612518628912072</v>
      </c>
      <c r="Z108" s="224"/>
      <c r="AA108" s="224">
        <f t="shared" si="20"/>
        <v>13.6</v>
      </c>
      <c r="AB108" s="1"/>
      <c r="AC108" s="1"/>
      <c r="AD108" s="202">
        <f t="shared" si="24"/>
        <v>82.801788375558871</v>
      </c>
      <c r="AE108" s="295">
        <f t="shared" si="26"/>
        <v>15552.261987714901</v>
      </c>
      <c r="AF108" s="892">
        <f t="shared" si="25"/>
        <v>82.801788375558871</v>
      </c>
    </row>
    <row r="109" spans="1:32" ht="13.5" thickBot="1" x14ac:dyDescent="0.25">
      <c r="A109" s="899">
        <v>100</v>
      </c>
      <c r="B109" s="900" t="s">
        <v>365</v>
      </c>
      <c r="C109" s="58"/>
      <c r="D109" s="58">
        <v>67</v>
      </c>
      <c r="E109" s="58" t="s">
        <v>1419</v>
      </c>
      <c r="F109" s="58" t="s">
        <v>1420</v>
      </c>
      <c r="G109" s="85" t="s">
        <v>308</v>
      </c>
      <c r="H109" s="885">
        <f t="shared" si="16"/>
        <v>1</v>
      </c>
      <c r="I109" s="58">
        <v>324</v>
      </c>
      <c r="J109" s="901"/>
      <c r="K109" s="886">
        <f t="shared" si="17"/>
        <v>0.39506172839506171</v>
      </c>
      <c r="L109" s="58">
        <v>128</v>
      </c>
      <c r="M109" s="885">
        <f t="shared" si="15"/>
        <v>5.301728395061728</v>
      </c>
      <c r="N109" s="885">
        <v>10</v>
      </c>
      <c r="O109" s="58">
        <v>1.7</v>
      </c>
      <c r="P109" s="58"/>
      <c r="Q109" s="902" t="s">
        <v>283</v>
      </c>
      <c r="R109" s="226">
        <v>0.35</v>
      </c>
      <c r="S109" s="903">
        <v>3355</v>
      </c>
      <c r="T109" s="18">
        <v>18</v>
      </c>
      <c r="U109" s="202">
        <f t="shared" si="21"/>
        <v>6.3</v>
      </c>
      <c r="V109" s="885">
        <f t="shared" si="22"/>
        <v>0.18861773472429211</v>
      </c>
      <c r="W109" s="904">
        <f>I109/L109</f>
        <v>2.53125</v>
      </c>
      <c r="X109" s="904"/>
      <c r="Y109" s="885">
        <f t="shared" si="23"/>
        <v>15.089418777943369</v>
      </c>
      <c r="Z109" s="905">
        <f t="shared" si="18"/>
        <v>34.424999999999997</v>
      </c>
      <c r="AA109" s="905"/>
      <c r="AB109" s="58">
        <v>242.9</v>
      </c>
      <c r="AC109" s="58"/>
      <c r="AD109" s="202">
        <f t="shared" si="24"/>
        <v>21.389418777943369</v>
      </c>
      <c r="AE109" s="906">
        <f t="shared" si="26"/>
        <v>15573.651406492845</v>
      </c>
      <c r="AF109" s="892">
        <f t="shared" si="25"/>
        <v>21.389418777943369</v>
      </c>
    </row>
    <row r="110" spans="1:32" ht="13.5" thickBot="1" x14ac:dyDescent="0.25">
      <c r="A110" s="909">
        <v>101</v>
      </c>
      <c r="B110" s="359" t="s">
        <v>1433</v>
      </c>
      <c r="C110" s="44"/>
      <c r="D110" s="44">
        <v>67</v>
      </c>
      <c r="E110" s="44" t="s">
        <v>266</v>
      </c>
      <c r="F110" s="44" t="s">
        <v>1297</v>
      </c>
      <c r="G110" s="85" t="s">
        <v>308</v>
      </c>
      <c r="H110" s="885">
        <f t="shared" si="16"/>
        <v>1</v>
      </c>
      <c r="I110" s="44">
        <v>324</v>
      </c>
      <c r="J110" s="44"/>
      <c r="K110" s="886">
        <f t="shared" si="17"/>
        <v>3.7037037037037035E-2</v>
      </c>
      <c r="L110" s="44">
        <v>12</v>
      </c>
      <c r="M110" s="885">
        <v>1</v>
      </c>
      <c r="N110" s="885">
        <v>10</v>
      </c>
      <c r="O110" s="44"/>
      <c r="P110" s="44">
        <v>1.7</v>
      </c>
      <c r="Q110" s="910"/>
      <c r="R110" s="226">
        <f t="shared" si="19"/>
        <v>0</v>
      </c>
      <c r="S110" s="911"/>
      <c r="T110" s="57"/>
      <c r="U110" s="202">
        <f t="shared" si="21"/>
        <v>0</v>
      </c>
      <c r="V110" s="885">
        <f t="shared" si="22"/>
        <v>1</v>
      </c>
      <c r="W110" s="912"/>
      <c r="X110" s="912">
        <f>I110/L110</f>
        <v>27</v>
      </c>
      <c r="Y110" s="885">
        <f t="shared" si="23"/>
        <v>80</v>
      </c>
      <c r="Z110" s="913"/>
      <c r="AA110" s="913">
        <f t="shared" si="20"/>
        <v>367.2</v>
      </c>
      <c r="AB110" s="44"/>
      <c r="AC110" s="44"/>
      <c r="AD110" s="202">
        <f t="shared" si="24"/>
        <v>80</v>
      </c>
      <c r="AE110" s="914">
        <f t="shared" si="26"/>
        <v>15653.651406492845</v>
      </c>
      <c r="AF110" s="892">
        <f t="shared" si="25"/>
        <v>80</v>
      </c>
    </row>
    <row r="111" spans="1:32" ht="13.5" thickBot="1" x14ac:dyDescent="0.25">
      <c r="A111" s="893">
        <v>102</v>
      </c>
      <c r="B111" s="12" t="s">
        <v>1444</v>
      </c>
      <c r="C111" s="1"/>
      <c r="D111" s="1">
        <v>68</v>
      </c>
      <c r="E111" s="1" t="s">
        <v>1403</v>
      </c>
      <c r="F111" s="1" t="s">
        <v>1429</v>
      </c>
      <c r="G111" s="85" t="s">
        <v>308</v>
      </c>
      <c r="H111" s="885">
        <f t="shared" si="16"/>
        <v>1</v>
      </c>
      <c r="I111" s="1">
        <v>324</v>
      </c>
      <c r="J111" s="44"/>
      <c r="K111" s="886">
        <f t="shared" si="17"/>
        <v>1</v>
      </c>
      <c r="L111" s="1">
        <v>324</v>
      </c>
      <c r="M111" s="885">
        <f t="shared" si="15"/>
        <v>13.42</v>
      </c>
      <c r="N111" s="885">
        <v>10</v>
      </c>
      <c r="O111" s="1">
        <v>1.36</v>
      </c>
      <c r="P111" s="1"/>
      <c r="Q111" s="385" t="s">
        <v>234</v>
      </c>
      <c r="R111" s="226">
        <f t="shared" si="19"/>
        <v>4.0983606557377046</v>
      </c>
      <c r="S111" s="251">
        <v>55</v>
      </c>
      <c r="T111" s="202">
        <f>'PRECIOS INSUMOS 2015'!C$5</f>
        <v>2</v>
      </c>
      <c r="U111" s="202">
        <f t="shared" si="21"/>
        <v>8.1967213114754092</v>
      </c>
      <c r="V111" s="885">
        <f t="shared" si="22"/>
        <v>7.4515648286140088E-2</v>
      </c>
      <c r="W111" s="894">
        <f>I111/L111</f>
        <v>1</v>
      </c>
      <c r="X111" s="894"/>
      <c r="Y111" s="885">
        <f t="shared" si="23"/>
        <v>5.9612518628912072</v>
      </c>
      <c r="Z111" s="224">
        <f t="shared" si="18"/>
        <v>10.88</v>
      </c>
      <c r="AA111" s="224"/>
      <c r="AB111" s="1"/>
      <c r="AC111" s="1"/>
      <c r="AD111" s="202">
        <f t="shared" si="24"/>
        <v>14.157973174366617</v>
      </c>
      <c r="AE111" s="295">
        <f t="shared" si="26"/>
        <v>15667.809379667211</v>
      </c>
      <c r="AF111" s="892">
        <f t="shared" si="25"/>
        <v>14.157973174366617</v>
      </c>
    </row>
    <row r="112" spans="1:32" ht="13.5" thickBot="1" x14ac:dyDescent="0.25">
      <c r="A112" s="893">
        <v>103</v>
      </c>
      <c r="B112" s="12" t="s">
        <v>1445</v>
      </c>
      <c r="C112" s="1"/>
      <c r="D112" s="1">
        <v>68</v>
      </c>
      <c r="E112" s="1"/>
      <c r="F112" s="1"/>
      <c r="G112" s="85" t="s">
        <v>308</v>
      </c>
      <c r="H112" s="885">
        <f t="shared" si="16"/>
        <v>1</v>
      </c>
      <c r="I112" s="1">
        <v>324</v>
      </c>
      <c r="J112" s="44"/>
      <c r="K112" s="886">
        <f t="shared" si="17"/>
        <v>1</v>
      </c>
      <c r="L112" s="1">
        <v>324</v>
      </c>
      <c r="M112" s="885">
        <f t="shared" si="15"/>
        <v>13.42</v>
      </c>
      <c r="N112" s="885">
        <v>10</v>
      </c>
      <c r="O112" s="1"/>
      <c r="P112" s="1">
        <v>1.7</v>
      </c>
      <c r="Q112" s="385" t="s">
        <v>978</v>
      </c>
      <c r="R112" s="226">
        <f t="shared" si="19"/>
        <v>2.5</v>
      </c>
      <c r="S112" s="251">
        <f>2.5*13.42</f>
        <v>33.549999999999997</v>
      </c>
      <c r="T112" s="18">
        <f>'PRECIOS INSUMOS 2015'!H$21</f>
        <v>12</v>
      </c>
      <c r="U112" s="202">
        <f t="shared" si="21"/>
        <v>30</v>
      </c>
      <c r="V112" s="885">
        <f t="shared" si="22"/>
        <v>7.4515648286140088E-2</v>
      </c>
      <c r="W112" s="894"/>
      <c r="X112" s="894">
        <v>1</v>
      </c>
      <c r="Y112" s="885">
        <f t="shared" si="23"/>
        <v>5.9612518628912072</v>
      </c>
      <c r="Z112" s="224"/>
      <c r="AA112" s="224">
        <f t="shared" si="20"/>
        <v>13.6</v>
      </c>
      <c r="AB112" s="1"/>
      <c r="AC112" s="1"/>
      <c r="AD112" s="202">
        <f t="shared" si="24"/>
        <v>35.96125186289121</v>
      </c>
      <c r="AE112" s="295">
        <f t="shared" si="26"/>
        <v>15703.770631530102</v>
      </c>
      <c r="AF112" s="892">
        <f t="shared" si="25"/>
        <v>35.96125186289121</v>
      </c>
    </row>
    <row r="113" spans="1:32" ht="13.5" thickBot="1" x14ac:dyDescent="0.25">
      <c r="A113" s="893">
        <v>104</v>
      </c>
      <c r="B113" s="12" t="s">
        <v>1448</v>
      </c>
      <c r="C113" s="1"/>
      <c r="D113" s="1">
        <v>70</v>
      </c>
      <c r="E113" s="1" t="s">
        <v>1403</v>
      </c>
      <c r="F113" s="1" t="s">
        <v>1429</v>
      </c>
      <c r="G113" s="85" t="s">
        <v>308</v>
      </c>
      <c r="H113" s="885">
        <f t="shared" si="16"/>
        <v>1</v>
      </c>
      <c r="I113" s="1">
        <v>324</v>
      </c>
      <c r="J113" s="44"/>
      <c r="K113" s="886">
        <f t="shared" si="17"/>
        <v>1</v>
      </c>
      <c r="L113" s="1">
        <v>324</v>
      </c>
      <c r="M113" s="885">
        <f t="shared" si="15"/>
        <v>13.42</v>
      </c>
      <c r="N113" s="885">
        <v>10</v>
      </c>
      <c r="O113" s="1">
        <v>1.36</v>
      </c>
      <c r="P113" s="1"/>
      <c r="Q113" s="385" t="s">
        <v>234</v>
      </c>
      <c r="R113" s="226">
        <f t="shared" si="19"/>
        <v>4.0983606557377046</v>
      </c>
      <c r="S113" s="251">
        <v>55</v>
      </c>
      <c r="T113" s="202">
        <f>'PRECIOS INSUMOS 2015'!C$5</f>
        <v>2</v>
      </c>
      <c r="U113" s="202">
        <f t="shared" si="21"/>
        <v>8.1967213114754092</v>
      </c>
      <c r="V113" s="885">
        <f t="shared" si="22"/>
        <v>7.4515648286140088E-2</v>
      </c>
      <c r="W113" s="894">
        <f>I113/L113</f>
        <v>1</v>
      </c>
      <c r="X113" s="894"/>
      <c r="Y113" s="885">
        <f t="shared" si="23"/>
        <v>5.9612518628912072</v>
      </c>
      <c r="Z113" s="224">
        <f t="shared" si="18"/>
        <v>10.88</v>
      </c>
      <c r="AA113" s="224"/>
      <c r="AB113" s="1"/>
      <c r="AC113" s="1"/>
      <c r="AD113" s="202">
        <f t="shared" si="24"/>
        <v>14.157973174366617</v>
      </c>
      <c r="AE113" s="295">
        <f t="shared" si="26"/>
        <v>15717.928604704468</v>
      </c>
      <c r="AF113" s="892">
        <f t="shared" si="25"/>
        <v>14.157973174366617</v>
      </c>
    </row>
    <row r="114" spans="1:32" ht="13.5" thickBot="1" x14ac:dyDescent="0.25">
      <c r="A114" s="893">
        <v>105</v>
      </c>
      <c r="B114" s="12" t="s">
        <v>1449</v>
      </c>
      <c r="C114" s="1"/>
      <c r="D114" s="1">
        <v>70</v>
      </c>
      <c r="E114" s="1"/>
      <c r="F114" s="1"/>
      <c r="G114" s="85" t="s">
        <v>308</v>
      </c>
      <c r="H114" s="885">
        <f t="shared" si="16"/>
        <v>1</v>
      </c>
      <c r="I114" s="1">
        <v>324</v>
      </c>
      <c r="J114" s="44"/>
      <c r="K114" s="886">
        <f t="shared" si="17"/>
        <v>1</v>
      </c>
      <c r="L114" s="1">
        <v>324</v>
      </c>
      <c r="M114" s="885">
        <f t="shared" si="15"/>
        <v>13.42</v>
      </c>
      <c r="N114" s="885">
        <v>10</v>
      </c>
      <c r="O114" s="1"/>
      <c r="P114" s="1">
        <v>1.7</v>
      </c>
      <c r="Q114" s="385" t="s">
        <v>982</v>
      </c>
      <c r="R114" s="226">
        <f t="shared" si="19"/>
        <v>0.4</v>
      </c>
      <c r="S114" s="251">
        <f>0.4*13.42</f>
        <v>5.3680000000000003</v>
      </c>
      <c r="T114" s="18">
        <f>'PRECIOS INSUMOS 2015'!C$38</f>
        <v>350</v>
      </c>
      <c r="U114" s="202">
        <f t="shared" si="21"/>
        <v>140</v>
      </c>
      <c r="V114" s="885">
        <f t="shared" si="22"/>
        <v>7.4515648286140088E-2</v>
      </c>
      <c r="W114" s="894"/>
      <c r="X114" s="894">
        <v>1</v>
      </c>
      <c r="Y114" s="885">
        <f t="shared" si="23"/>
        <v>5.9612518628912072</v>
      </c>
      <c r="Z114" s="224"/>
      <c r="AA114" s="224">
        <f t="shared" si="20"/>
        <v>13.6</v>
      </c>
      <c r="AB114" s="1"/>
      <c r="AC114" s="1"/>
      <c r="AD114" s="202">
        <f t="shared" si="24"/>
        <v>145.9612518628912</v>
      </c>
      <c r="AE114" s="295">
        <f t="shared" si="26"/>
        <v>15863.889856567359</v>
      </c>
      <c r="AF114" s="892">
        <f t="shared" si="25"/>
        <v>145.9612518628912</v>
      </c>
    </row>
    <row r="115" spans="1:32" ht="13.5" thickBot="1" x14ac:dyDescent="0.25">
      <c r="A115" s="893">
        <v>106</v>
      </c>
      <c r="B115" s="12" t="s">
        <v>1444</v>
      </c>
      <c r="C115" s="1"/>
      <c r="D115" s="1">
        <v>72</v>
      </c>
      <c r="E115" s="1" t="s">
        <v>1403</v>
      </c>
      <c r="F115" s="1" t="s">
        <v>1429</v>
      </c>
      <c r="G115" s="85" t="s">
        <v>308</v>
      </c>
      <c r="H115" s="885">
        <f t="shared" si="16"/>
        <v>1</v>
      </c>
      <c r="I115" s="1">
        <v>324</v>
      </c>
      <c r="J115" s="44"/>
      <c r="K115" s="886">
        <f t="shared" si="17"/>
        <v>1</v>
      </c>
      <c r="L115" s="1">
        <v>324</v>
      </c>
      <c r="M115" s="885">
        <f t="shared" si="15"/>
        <v>13.42</v>
      </c>
      <c r="N115" s="885">
        <v>10</v>
      </c>
      <c r="O115" s="1">
        <v>1.36</v>
      </c>
      <c r="P115" s="1"/>
      <c r="Q115" s="385" t="s">
        <v>234</v>
      </c>
      <c r="R115" s="226">
        <f t="shared" si="19"/>
        <v>4.0983606557377046</v>
      </c>
      <c r="S115" s="251">
        <v>55</v>
      </c>
      <c r="T115" s="202">
        <f>'PRECIOS INSUMOS 2015'!C$5</f>
        <v>2</v>
      </c>
      <c r="U115" s="202">
        <f t="shared" si="21"/>
        <v>8.1967213114754092</v>
      </c>
      <c r="V115" s="885">
        <f t="shared" si="22"/>
        <v>7.4515648286140088E-2</v>
      </c>
      <c r="W115" s="894">
        <f>I115/L115</f>
        <v>1</v>
      </c>
      <c r="X115" s="894"/>
      <c r="Y115" s="885">
        <f t="shared" si="23"/>
        <v>5.9612518628912072</v>
      </c>
      <c r="Z115" s="224">
        <f t="shared" si="18"/>
        <v>10.88</v>
      </c>
      <c r="AA115" s="224"/>
      <c r="AB115" s="1"/>
      <c r="AC115" s="1"/>
      <c r="AD115" s="202">
        <f t="shared" si="24"/>
        <v>14.157973174366617</v>
      </c>
      <c r="AE115" s="295">
        <f t="shared" si="26"/>
        <v>15878.047829741725</v>
      </c>
      <c r="AF115" s="892">
        <f t="shared" si="25"/>
        <v>14.157973174366617</v>
      </c>
    </row>
    <row r="116" spans="1:32" ht="13.5" thickBot="1" x14ac:dyDescent="0.25">
      <c r="A116" s="893">
        <v>107</v>
      </c>
      <c r="B116" s="12" t="s">
        <v>1445</v>
      </c>
      <c r="C116" s="1"/>
      <c r="D116" s="1">
        <v>72</v>
      </c>
      <c r="E116" s="1"/>
      <c r="F116" s="1"/>
      <c r="G116" s="85" t="s">
        <v>308</v>
      </c>
      <c r="H116" s="885">
        <f t="shared" si="16"/>
        <v>1</v>
      </c>
      <c r="I116" s="1">
        <v>324</v>
      </c>
      <c r="J116" s="44"/>
      <c r="K116" s="886">
        <f t="shared" si="17"/>
        <v>1</v>
      </c>
      <c r="L116" s="1">
        <v>324</v>
      </c>
      <c r="M116" s="885">
        <f t="shared" si="15"/>
        <v>13.42</v>
      </c>
      <c r="N116" s="885">
        <v>10</v>
      </c>
      <c r="O116" s="1"/>
      <c r="P116" s="1">
        <v>1.7</v>
      </c>
      <c r="Q116" s="385" t="s">
        <v>978</v>
      </c>
      <c r="R116" s="226">
        <f t="shared" si="19"/>
        <v>2.5</v>
      </c>
      <c r="S116" s="251">
        <f>2.5*13.42</f>
        <v>33.549999999999997</v>
      </c>
      <c r="T116" s="18">
        <f>'PRECIOS INSUMOS 2015'!H$21</f>
        <v>12</v>
      </c>
      <c r="U116" s="202">
        <f t="shared" si="21"/>
        <v>30</v>
      </c>
      <c r="V116" s="885">
        <f t="shared" si="22"/>
        <v>7.4515648286140088E-2</v>
      </c>
      <c r="W116" s="894"/>
      <c r="X116" s="894">
        <v>1</v>
      </c>
      <c r="Y116" s="885">
        <f t="shared" si="23"/>
        <v>5.9612518628912072</v>
      </c>
      <c r="Z116" s="224"/>
      <c r="AA116" s="224">
        <f t="shared" si="20"/>
        <v>13.6</v>
      </c>
      <c r="AB116" s="1"/>
      <c r="AC116" s="1"/>
      <c r="AD116" s="202">
        <f t="shared" si="24"/>
        <v>35.96125186289121</v>
      </c>
      <c r="AE116" s="295">
        <f t="shared" si="26"/>
        <v>15914.009081604616</v>
      </c>
      <c r="AF116" s="892">
        <f t="shared" si="25"/>
        <v>35.96125186289121</v>
      </c>
    </row>
    <row r="117" spans="1:32" ht="13.5" thickBot="1" x14ac:dyDescent="0.25">
      <c r="A117" s="893">
        <v>108</v>
      </c>
      <c r="B117" s="12" t="s">
        <v>365</v>
      </c>
      <c r="C117" s="1"/>
      <c r="D117" s="1">
        <v>72</v>
      </c>
      <c r="E117" s="1" t="s">
        <v>1419</v>
      </c>
      <c r="F117" s="1" t="s">
        <v>1420</v>
      </c>
      <c r="G117" s="85" t="s">
        <v>308</v>
      </c>
      <c r="H117" s="885">
        <f t="shared" si="16"/>
        <v>1</v>
      </c>
      <c r="I117" s="1">
        <v>324</v>
      </c>
      <c r="J117" s="44"/>
      <c r="K117" s="886">
        <f t="shared" si="17"/>
        <v>0.39506172839506171</v>
      </c>
      <c r="L117" s="1">
        <v>128</v>
      </c>
      <c r="M117" s="885">
        <f t="shared" si="15"/>
        <v>5.301728395061728</v>
      </c>
      <c r="N117" s="885">
        <v>10</v>
      </c>
      <c r="O117" s="1">
        <v>1.7</v>
      </c>
      <c r="P117" s="1"/>
      <c r="Q117" s="385" t="s">
        <v>283</v>
      </c>
      <c r="R117" s="226">
        <v>0.35</v>
      </c>
      <c r="S117" s="251">
        <v>3355</v>
      </c>
      <c r="T117" s="18">
        <v>18</v>
      </c>
      <c r="U117" s="202">
        <f t="shared" si="21"/>
        <v>6.3</v>
      </c>
      <c r="V117" s="885">
        <f t="shared" si="22"/>
        <v>0.18861773472429211</v>
      </c>
      <c r="W117" s="894">
        <f>I117/L117</f>
        <v>2.53125</v>
      </c>
      <c r="X117" s="894"/>
      <c r="Y117" s="885">
        <f t="shared" si="23"/>
        <v>15.089418777943369</v>
      </c>
      <c r="Z117" s="224">
        <f t="shared" si="18"/>
        <v>34.424999999999997</v>
      </c>
      <c r="AA117" s="224"/>
      <c r="AB117" s="1">
        <v>242.9</v>
      </c>
      <c r="AC117" s="1"/>
      <c r="AD117" s="202">
        <f t="shared" si="24"/>
        <v>21.389418777943369</v>
      </c>
      <c r="AE117" s="295">
        <f t="shared" si="26"/>
        <v>15935.39850038256</v>
      </c>
      <c r="AF117" s="892">
        <f t="shared" si="25"/>
        <v>21.389418777943369</v>
      </c>
    </row>
    <row r="118" spans="1:32" ht="13.5" thickBot="1" x14ac:dyDescent="0.25">
      <c r="A118" s="893">
        <v>109</v>
      </c>
      <c r="B118" s="12" t="s">
        <v>1433</v>
      </c>
      <c r="C118" s="1"/>
      <c r="D118" s="1">
        <v>72</v>
      </c>
      <c r="E118" s="1" t="s">
        <v>266</v>
      </c>
      <c r="F118" s="1" t="s">
        <v>1297</v>
      </c>
      <c r="G118" s="85" t="s">
        <v>308</v>
      </c>
      <c r="H118" s="885">
        <f t="shared" si="16"/>
        <v>1</v>
      </c>
      <c r="I118" s="1">
        <v>324</v>
      </c>
      <c r="J118" s="44"/>
      <c r="K118" s="886">
        <f t="shared" si="17"/>
        <v>3.7037037037037035E-2</v>
      </c>
      <c r="L118" s="1">
        <v>12</v>
      </c>
      <c r="M118" s="885">
        <v>1</v>
      </c>
      <c r="N118" s="885">
        <v>10</v>
      </c>
      <c r="O118" s="1"/>
      <c r="P118" s="1">
        <v>1.7</v>
      </c>
      <c r="Q118" s="385"/>
      <c r="R118" s="226">
        <f t="shared" si="19"/>
        <v>0</v>
      </c>
      <c r="S118" s="251"/>
      <c r="T118" s="57"/>
      <c r="U118" s="202">
        <f t="shared" si="21"/>
        <v>0</v>
      </c>
      <c r="V118" s="885">
        <f t="shared" si="22"/>
        <v>1</v>
      </c>
      <c r="W118" s="894"/>
      <c r="X118" s="894">
        <f>I118/L118</f>
        <v>27</v>
      </c>
      <c r="Y118" s="885">
        <f t="shared" si="23"/>
        <v>80</v>
      </c>
      <c r="Z118" s="224"/>
      <c r="AA118" s="224">
        <f t="shared" si="20"/>
        <v>367.2</v>
      </c>
      <c r="AB118" s="1"/>
      <c r="AC118" s="1"/>
      <c r="AD118" s="202">
        <f t="shared" si="24"/>
        <v>80</v>
      </c>
      <c r="AE118" s="295">
        <f t="shared" si="26"/>
        <v>16015.39850038256</v>
      </c>
      <c r="AF118" s="892">
        <f t="shared" si="25"/>
        <v>80</v>
      </c>
    </row>
    <row r="119" spans="1:32" ht="13.5" thickBot="1" x14ac:dyDescent="0.25">
      <c r="A119" s="893">
        <v>110</v>
      </c>
      <c r="B119" s="12" t="s">
        <v>1450</v>
      </c>
      <c r="C119" s="1"/>
      <c r="D119" s="1">
        <v>74</v>
      </c>
      <c r="E119" s="1" t="s">
        <v>1403</v>
      </c>
      <c r="F119" s="1" t="s">
        <v>1429</v>
      </c>
      <c r="G119" s="85" t="s">
        <v>308</v>
      </c>
      <c r="H119" s="885">
        <f t="shared" si="16"/>
        <v>1</v>
      </c>
      <c r="I119" s="1">
        <v>324</v>
      </c>
      <c r="J119" s="44"/>
      <c r="K119" s="886">
        <f t="shared" si="17"/>
        <v>1</v>
      </c>
      <c r="L119" s="1">
        <v>324</v>
      </c>
      <c r="M119" s="885">
        <f t="shared" ref="M119:M135" si="27">K119*13.42</f>
        <v>13.42</v>
      </c>
      <c r="N119" s="885">
        <v>10</v>
      </c>
      <c r="O119" s="1">
        <v>1.36</v>
      </c>
      <c r="P119" s="1"/>
      <c r="Q119" s="385" t="s">
        <v>234</v>
      </c>
      <c r="R119" s="226">
        <f t="shared" si="19"/>
        <v>4.0983606557377046</v>
      </c>
      <c r="S119" s="251">
        <v>55</v>
      </c>
      <c r="T119" s="202">
        <f>'PRECIOS INSUMOS 2015'!C$5</f>
        <v>2</v>
      </c>
      <c r="U119" s="202">
        <f t="shared" si="21"/>
        <v>8.1967213114754092</v>
      </c>
      <c r="V119" s="885">
        <f t="shared" si="22"/>
        <v>7.4515648286140088E-2</v>
      </c>
      <c r="W119" s="894">
        <f>I119/L119</f>
        <v>1</v>
      </c>
      <c r="X119" s="894"/>
      <c r="Y119" s="885">
        <f t="shared" si="23"/>
        <v>5.9612518628912072</v>
      </c>
      <c r="Z119" s="224">
        <f t="shared" si="18"/>
        <v>10.88</v>
      </c>
      <c r="AA119" s="224"/>
      <c r="AB119" s="1"/>
      <c r="AC119" s="1"/>
      <c r="AD119" s="202">
        <f t="shared" si="24"/>
        <v>14.157973174366617</v>
      </c>
      <c r="AE119" s="295">
        <f t="shared" si="26"/>
        <v>16029.556473556926</v>
      </c>
      <c r="AF119" s="892">
        <f t="shared" si="25"/>
        <v>14.157973174366617</v>
      </c>
    </row>
    <row r="120" spans="1:32" ht="13.5" thickBot="1" x14ac:dyDescent="0.25">
      <c r="A120" s="893">
        <v>111</v>
      </c>
      <c r="B120" s="12" t="s">
        <v>1451</v>
      </c>
      <c r="C120" s="1"/>
      <c r="D120" s="1">
        <v>74</v>
      </c>
      <c r="E120" s="1"/>
      <c r="F120" s="1"/>
      <c r="G120" s="85" t="s">
        <v>308</v>
      </c>
      <c r="H120" s="885">
        <f t="shared" si="16"/>
        <v>1</v>
      </c>
      <c r="I120" s="1">
        <v>324</v>
      </c>
      <c r="J120" s="44"/>
      <c r="K120" s="886">
        <f t="shared" si="17"/>
        <v>1</v>
      </c>
      <c r="L120" s="1">
        <v>324</v>
      </c>
      <c r="M120" s="885">
        <f t="shared" si="27"/>
        <v>13.42</v>
      </c>
      <c r="N120" s="885">
        <v>10</v>
      </c>
      <c r="O120" s="1"/>
      <c r="P120" s="1">
        <v>1.7</v>
      </c>
      <c r="Q120" s="385" t="s">
        <v>1452</v>
      </c>
      <c r="R120" s="226">
        <f t="shared" si="19"/>
        <v>3.8420268256333832</v>
      </c>
      <c r="S120" s="251">
        <v>51.56</v>
      </c>
      <c r="T120" s="18">
        <f>'PRECIOS INSUMOS 2015'!H$29</f>
        <v>20</v>
      </c>
      <c r="U120" s="202">
        <f t="shared" si="21"/>
        <v>76.840536512667668</v>
      </c>
      <c r="V120" s="885">
        <f t="shared" si="22"/>
        <v>7.4515648286140088E-2</v>
      </c>
      <c r="W120" s="894"/>
      <c r="X120" s="894">
        <v>1</v>
      </c>
      <c r="Y120" s="885">
        <f t="shared" si="23"/>
        <v>5.9612518628912072</v>
      </c>
      <c r="Z120" s="224"/>
      <c r="AA120" s="224">
        <f t="shared" si="20"/>
        <v>13.6</v>
      </c>
      <c r="AB120" s="1"/>
      <c r="AC120" s="1"/>
      <c r="AD120" s="202">
        <f t="shared" si="24"/>
        <v>82.801788375558871</v>
      </c>
      <c r="AE120" s="295">
        <f t="shared" si="26"/>
        <v>16112.358261932484</v>
      </c>
      <c r="AF120" s="892">
        <f t="shared" si="25"/>
        <v>82.801788375558871</v>
      </c>
    </row>
    <row r="121" spans="1:32" ht="13.5" thickBot="1" x14ac:dyDescent="0.25">
      <c r="A121" s="893">
        <v>112</v>
      </c>
      <c r="B121" s="12" t="s">
        <v>1444</v>
      </c>
      <c r="C121" s="1"/>
      <c r="D121" s="1">
        <v>77</v>
      </c>
      <c r="E121" s="1" t="s">
        <v>1403</v>
      </c>
      <c r="F121" s="1" t="s">
        <v>1429</v>
      </c>
      <c r="G121" s="85" t="s">
        <v>308</v>
      </c>
      <c r="H121" s="885">
        <f t="shared" si="16"/>
        <v>1</v>
      </c>
      <c r="I121" s="1">
        <v>324</v>
      </c>
      <c r="J121" s="44"/>
      <c r="K121" s="886">
        <f t="shared" si="17"/>
        <v>1</v>
      </c>
      <c r="L121" s="1">
        <v>324</v>
      </c>
      <c r="M121" s="885">
        <f t="shared" si="27"/>
        <v>13.42</v>
      </c>
      <c r="N121" s="885">
        <v>10</v>
      </c>
      <c r="O121" s="1">
        <v>1.36</v>
      </c>
      <c r="P121" s="1"/>
      <c r="Q121" s="385" t="s">
        <v>234</v>
      </c>
      <c r="R121" s="226">
        <f t="shared" si="19"/>
        <v>4.0983606557377046</v>
      </c>
      <c r="S121" s="251">
        <v>55</v>
      </c>
      <c r="T121" s="202">
        <f>'PRECIOS INSUMOS 2015'!C$5</f>
        <v>2</v>
      </c>
      <c r="U121" s="202">
        <f t="shared" si="21"/>
        <v>8.1967213114754092</v>
      </c>
      <c r="V121" s="885">
        <f t="shared" si="22"/>
        <v>7.4515648286140088E-2</v>
      </c>
      <c r="W121" s="894">
        <f>I121/L121</f>
        <v>1</v>
      </c>
      <c r="X121" s="894"/>
      <c r="Y121" s="885">
        <f t="shared" si="23"/>
        <v>5.9612518628912072</v>
      </c>
      <c r="Z121" s="224">
        <f t="shared" si="18"/>
        <v>10.88</v>
      </c>
      <c r="AA121" s="224"/>
      <c r="AB121" s="1"/>
      <c r="AC121" s="1"/>
      <c r="AD121" s="202">
        <f t="shared" si="24"/>
        <v>14.157973174366617</v>
      </c>
      <c r="AE121" s="295">
        <f t="shared" si="26"/>
        <v>16126.51623510685</v>
      </c>
      <c r="AF121" s="892">
        <f t="shared" si="25"/>
        <v>14.157973174366617</v>
      </c>
    </row>
    <row r="122" spans="1:32" ht="13.5" thickBot="1" x14ac:dyDescent="0.25">
      <c r="A122" s="893">
        <v>113</v>
      </c>
      <c r="B122" s="12" t="s">
        <v>1445</v>
      </c>
      <c r="C122" s="1"/>
      <c r="D122" s="1">
        <v>77</v>
      </c>
      <c r="E122" s="1"/>
      <c r="F122" s="1"/>
      <c r="G122" s="85" t="s">
        <v>308</v>
      </c>
      <c r="H122" s="885">
        <f t="shared" si="16"/>
        <v>1</v>
      </c>
      <c r="I122" s="1">
        <v>324</v>
      </c>
      <c r="J122" s="44"/>
      <c r="K122" s="886">
        <f t="shared" si="17"/>
        <v>1</v>
      </c>
      <c r="L122" s="1">
        <v>324</v>
      </c>
      <c r="M122" s="885">
        <f t="shared" si="27"/>
        <v>13.42</v>
      </c>
      <c r="N122" s="885">
        <v>10</v>
      </c>
      <c r="O122" s="1"/>
      <c r="P122" s="1">
        <v>1.7</v>
      </c>
      <c r="Q122" s="385" t="s">
        <v>978</v>
      </c>
      <c r="R122" s="226">
        <f t="shared" si="19"/>
        <v>2.5</v>
      </c>
      <c r="S122" s="251">
        <f>2.5*13.42</f>
        <v>33.549999999999997</v>
      </c>
      <c r="T122" s="18">
        <f>'PRECIOS INSUMOS 2015'!H$21</f>
        <v>12</v>
      </c>
      <c r="U122" s="202">
        <f t="shared" si="21"/>
        <v>30</v>
      </c>
      <c r="V122" s="885">
        <f t="shared" si="22"/>
        <v>7.4515648286140088E-2</v>
      </c>
      <c r="W122" s="894"/>
      <c r="X122" s="894">
        <v>1</v>
      </c>
      <c r="Y122" s="885">
        <f t="shared" si="23"/>
        <v>5.9612518628912072</v>
      </c>
      <c r="Z122" s="224"/>
      <c r="AA122" s="224">
        <f t="shared" si="20"/>
        <v>13.6</v>
      </c>
      <c r="AB122" s="1"/>
      <c r="AC122" s="1"/>
      <c r="AD122" s="202">
        <f t="shared" si="24"/>
        <v>35.96125186289121</v>
      </c>
      <c r="AE122" s="295">
        <f t="shared" si="26"/>
        <v>16162.477486969741</v>
      </c>
      <c r="AF122" s="892">
        <f t="shared" si="25"/>
        <v>35.96125186289121</v>
      </c>
    </row>
    <row r="123" spans="1:32" ht="13.5" thickBot="1" x14ac:dyDescent="0.25">
      <c r="A123" s="893">
        <v>114</v>
      </c>
      <c r="B123" s="12" t="s">
        <v>365</v>
      </c>
      <c r="C123" s="1"/>
      <c r="D123" s="1">
        <v>77</v>
      </c>
      <c r="E123" s="1" t="s">
        <v>1419</v>
      </c>
      <c r="F123" s="1" t="s">
        <v>1420</v>
      </c>
      <c r="G123" s="85" t="s">
        <v>308</v>
      </c>
      <c r="H123" s="885">
        <f t="shared" si="16"/>
        <v>1</v>
      </c>
      <c r="I123" s="1">
        <v>324</v>
      </c>
      <c r="J123" s="44"/>
      <c r="K123" s="886">
        <f t="shared" si="17"/>
        <v>0.39506172839506171</v>
      </c>
      <c r="L123" s="1">
        <v>128</v>
      </c>
      <c r="M123" s="885">
        <f t="shared" si="27"/>
        <v>5.301728395061728</v>
      </c>
      <c r="N123" s="885">
        <v>10</v>
      </c>
      <c r="O123" s="1">
        <v>1.7</v>
      </c>
      <c r="P123" s="1"/>
      <c r="Q123" s="385" t="s">
        <v>283</v>
      </c>
      <c r="R123" s="226">
        <v>0.35</v>
      </c>
      <c r="S123" s="251">
        <v>3355</v>
      </c>
      <c r="T123" s="18">
        <v>18</v>
      </c>
      <c r="U123" s="202">
        <f t="shared" si="21"/>
        <v>6.3</v>
      </c>
      <c r="V123" s="885">
        <f t="shared" si="22"/>
        <v>0.18861773472429211</v>
      </c>
      <c r="W123" s="894">
        <f>I123/L123</f>
        <v>2.53125</v>
      </c>
      <c r="X123" s="894"/>
      <c r="Y123" s="885">
        <f t="shared" si="23"/>
        <v>15.089418777943369</v>
      </c>
      <c r="Z123" s="224">
        <f t="shared" si="18"/>
        <v>34.424999999999997</v>
      </c>
      <c r="AA123" s="224"/>
      <c r="AB123" s="1">
        <v>242.9</v>
      </c>
      <c r="AC123" s="1"/>
      <c r="AD123" s="202">
        <f t="shared" si="24"/>
        <v>21.389418777943369</v>
      </c>
      <c r="AE123" s="295">
        <f t="shared" si="26"/>
        <v>16183.866905747685</v>
      </c>
      <c r="AF123" s="892">
        <f t="shared" si="25"/>
        <v>21.389418777943369</v>
      </c>
    </row>
    <row r="124" spans="1:32" ht="13.5" thickBot="1" x14ac:dyDescent="0.25">
      <c r="A124" s="893">
        <v>115</v>
      </c>
      <c r="B124" s="12" t="s">
        <v>1433</v>
      </c>
      <c r="C124" s="1"/>
      <c r="D124" s="1">
        <v>77</v>
      </c>
      <c r="E124" s="1" t="s">
        <v>266</v>
      </c>
      <c r="F124" s="1" t="s">
        <v>1297</v>
      </c>
      <c r="G124" s="85" t="s">
        <v>308</v>
      </c>
      <c r="H124" s="885">
        <f t="shared" si="16"/>
        <v>1</v>
      </c>
      <c r="I124" s="1">
        <v>324</v>
      </c>
      <c r="J124" s="44"/>
      <c r="K124" s="886">
        <f t="shared" si="17"/>
        <v>3.7037037037037035E-2</v>
      </c>
      <c r="L124" s="1">
        <v>12</v>
      </c>
      <c r="M124" s="885">
        <v>1</v>
      </c>
      <c r="N124" s="885">
        <v>10</v>
      </c>
      <c r="O124" s="1"/>
      <c r="P124" s="1">
        <v>1.7</v>
      </c>
      <c r="Q124" s="385"/>
      <c r="R124" s="226">
        <f t="shared" si="19"/>
        <v>0</v>
      </c>
      <c r="S124" s="251"/>
      <c r="T124" s="933"/>
      <c r="U124" s="202">
        <f t="shared" si="21"/>
        <v>0</v>
      </c>
      <c r="V124" s="885">
        <f t="shared" si="22"/>
        <v>1</v>
      </c>
      <c r="W124" s="894"/>
      <c r="X124" s="894">
        <f>I124/L124</f>
        <v>27</v>
      </c>
      <c r="Y124" s="885">
        <f t="shared" si="23"/>
        <v>80</v>
      </c>
      <c r="Z124" s="224"/>
      <c r="AA124" s="224">
        <f t="shared" si="20"/>
        <v>367.2</v>
      </c>
      <c r="AB124" s="1"/>
      <c r="AC124" s="1"/>
      <c r="AD124" s="202">
        <f t="shared" si="24"/>
        <v>80</v>
      </c>
      <c r="AE124" s="295">
        <f t="shared" si="26"/>
        <v>16263.866905747685</v>
      </c>
      <c r="AF124" s="892">
        <f t="shared" si="25"/>
        <v>80</v>
      </c>
    </row>
    <row r="125" spans="1:32" ht="13.5" thickBot="1" x14ac:dyDescent="0.25">
      <c r="A125" s="893">
        <v>116</v>
      </c>
      <c r="B125" s="12" t="s">
        <v>1448</v>
      </c>
      <c r="C125" s="1"/>
      <c r="D125" s="1">
        <v>80</v>
      </c>
      <c r="E125" s="1" t="s">
        <v>1403</v>
      </c>
      <c r="F125" s="1" t="s">
        <v>1429</v>
      </c>
      <c r="G125" s="85" t="s">
        <v>308</v>
      </c>
      <c r="H125" s="885">
        <f t="shared" si="16"/>
        <v>1</v>
      </c>
      <c r="I125" s="1">
        <v>324</v>
      </c>
      <c r="J125" s="44"/>
      <c r="K125" s="886">
        <f t="shared" si="17"/>
        <v>1</v>
      </c>
      <c r="L125" s="1">
        <v>324</v>
      </c>
      <c r="M125" s="885">
        <f t="shared" si="27"/>
        <v>13.42</v>
      </c>
      <c r="N125" s="885">
        <v>10</v>
      </c>
      <c r="O125" s="1">
        <v>1.36</v>
      </c>
      <c r="P125" s="1"/>
      <c r="Q125" s="385" t="s">
        <v>234</v>
      </c>
      <c r="R125" s="226">
        <f t="shared" si="19"/>
        <v>4.0983606557377046</v>
      </c>
      <c r="S125" s="251">
        <v>55</v>
      </c>
      <c r="T125" s="202">
        <f>'PRECIOS INSUMOS 2015'!C$5</f>
        <v>2</v>
      </c>
      <c r="U125" s="202">
        <f t="shared" si="21"/>
        <v>8.1967213114754092</v>
      </c>
      <c r="V125" s="885">
        <f t="shared" si="22"/>
        <v>7.4515648286140088E-2</v>
      </c>
      <c r="W125" s="894">
        <f>I125/L125</f>
        <v>1</v>
      </c>
      <c r="X125" s="894"/>
      <c r="Y125" s="885">
        <f t="shared" si="23"/>
        <v>5.9612518628912072</v>
      </c>
      <c r="Z125" s="224">
        <f t="shared" si="18"/>
        <v>10.88</v>
      </c>
      <c r="AA125" s="224"/>
      <c r="AB125" s="1"/>
      <c r="AC125" s="1"/>
      <c r="AD125" s="202">
        <f t="shared" si="24"/>
        <v>14.157973174366617</v>
      </c>
      <c r="AE125" s="295">
        <f t="shared" si="26"/>
        <v>16278.024878922051</v>
      </c>
      <c r="AF125" s="892">
        <f t="shared" si="25"/>
        <v>14.157973174366617</v>
      </c>
    </row>
    <row r="126" spans="1:32" ht="13.5" thickBot="1" x14ac:dyDescent="0.25">
      <c r="A126" s="893">
        <v>117</v>
      </c>
      <c r="B126" s="12" t="s">
        <v>1449</v>
      </c>
      <c r="C126" s="1"/>
      <c r="D126" s="1">
        <v>80</v>
      </c>
      <c r="E126" s="1"/>
      <c r="F126" s="1"/>
      <c r="G126" s="85" t="s">
        <v>308</v>
      </c>
      <c r="H126" s="885">
        <f t="shared" ref="H126:H135" si="28">I126/324</f>
        <v>1</v>
      </c>
      <c r="I126" s="1">
        <v>324</v>
      </c>
      <c r="J126" s="44"/>
      <c r="K126" s="886">
        <f t="shared" ref="K126:K135" si="29">L126/324</f>
        <v>1</v>
      </c>
      <c r="L126" s="1">
        <v>324</v>
      </c>
      <c r="M126" s="885">
        <f t="shared" si="27"/>
        <v>13.42</v>
      </c>
      <c r="N126" s="885">
        <v>10</v>
      </c>
      <c r="O126" s="1"/>
      <c r="P126" s="1">
        <v>1.7</v>
      </c>
      <c r="Q126" s="385" t="s">
        <v>982</v>
      </c>
      <c r="R126" s="226">
        <f t="shared" si="19"/>
        <v>0.4</v>
      </c>
      <c r="S126" s="251">
        <f>0.4*13.42</f>
        <v>5.3680000000000003</v>
      </c>
      <c r="T126" s="18">
        <f>'PRECIOS INSUMOS 2015'!C$38</f>
        <v>350</v>
      </c>
      <c r="U126" s="202">
        <f t="shared" si="21"/>
        <v>140</v>
      </c>
      <c r="V126" s="885">
        <f t="shared" si="22"/>
        <v>7.4515648286140088E-2</v>
      </c>
      <c r="W126" s="894"/>
      <c r="X126" s="894">
        <v>1</v>
      </c>
      <c r="Y126" s="885">
        <f t="shared" si="23"/>
        <v>5.9612518628912072</v>
      </c>
      <c r="Z126" s="224"/>
      <c r="AA126" s="224">
        <f t="shared" si="20"/>
        <v>13.6</v>
      </c>
      <c r="AB126" s="1"/>
      <c r="AC126" s="1"/>
      <c r="AD126" s="202">
        <f t="shared" si="24"/>
        <v>145.9612518628912</v>
      </c>
      <c r="AE126" s="295">
        <f t="shared" si="26"/>
        <v>16423.986130784942</v>
      </c>
      <c r="AF126" s="892">
        <f t="shared" si="25"/>
        <v>145.9612518628912</v>
      </c>
    </row>
    <row r="127" spans="1:32" ht="13.5" thickBot="1" x14ac:dyDescent="0.25">
      <c r="A127" s="893">
        <v>118</v>
      </c>
      <c r="B127" s="12" t="s">
        <v>1444</v>
      </c>
      <c r="C127" s="1"/>
      <c r="D127" s="1">
        <v>82</v>
      </c>
      <c r="E127" s="1" t="s">
        <v>1403</v>
      </c>
      <c r="F127" s="1" t="s">
        <v>1429</v>
      </c>
      <c r="G127" s="85" t="s">
        <v>308</v>
      </c>
      <c r="H127" s="885">
        <f t="shared" si="28"/>
        <v>1</v>
      </c>
      <c r="I127" s="1">
        <v>324</v>
      </c>
      <c r="J127" s="44"/>
      <c r="K127" s="886">
        <f t="shared" si="29"/>
        <v>1</v>
      </c>
      <c r="L127" s="1">
        <v>324</v>
      </c>
      <c r="M127" s="885">
        <f t="shared" si="27"/>
        <v>13.42</v>
      </c>
      <c r="N127" s="885">
        <v>10</v>
      </c>
      <c r="O127" s="1">
        <v>1.36</v>
      </c>
      <c r="P127" s="1"/>
      <c r="Q127" s="385" t="s">
        <v>234</v>
      </c>
      <c r="R127" s="226">
        <f t="shared" si="19"/>
        <v>4.0983606557377046</v>
      </c>
      <c r="S127" s="251">
        <v>55</v>
      </c>
      <c r="T127" s="202">
        <f>'PRECIOS INSUMOS 2015'!C$5</f>
        <v>2</v>
      </c>
      <c r="U127" s="202">
        <f t="shared" si="21"/>
        <v>8.1967213114754092</v>
      </c>
      <c r="V127" s="885">
        <f t="shared" si="22"/>
        <v>7.4515648286140088E-2</v>
      </c>
      <c r="W127" s="894">
        <f>I127/L127</f>
        <v>1</v>
      </c>
      <c r="X127" s="894"/>
      <c r="Y127" s="885">
        <f t="shared" si="23"/>
        <v>5.9612518628912072</v>
      </c>
      <c r="Z127" s="224">
        <f t="shared" si="18"/>
        <v>10.88</v>
      </c>
      <c r="AA127" s="224"/>
      <c r="AB127" s="1"/>
      <c r="AC127" s="1"/>
      <c r="AD127" s="202">
        <f t="shared" si="24"/>
        <v>14.157973174366617</v>
      </c>
      <c r="AE127" s="295">
        <f t="shared" si="26"/>
        <v>16438.144103959308</v>
      </c>
      <c r="AF127" s="892">
        <f t="shared" si="25"/>
        <v>14.157973174366617</v>
      </c>
    </row>
    <row r="128" spans="1:32" ht="13.5" thickBot="1" x14ac:dyDescent="0.25">
      <c r="A128" s="893">
        <v>119</v>
      </c>
      <c r="B128" s="12" t="s">
        <v>1445</v>
      </c>
      <c r="C128" s="1"/>
      <c r="D128" s="1">
        <v>82</v>
      </c>
      <c r="E128" s="1"/>
      <c r="F128" s="1"/>
      <c r="G128" s="85" t="s">
        <v>308</v>
      </c>
      <c r="H128" s="885">
        <f t="shared" si="28"/>
        <v>1</v>
      </c>
      <c r="I128" s="1">
        <v>324</v>
      </c>
      <c r="J128" s="44"/>
      <c r="K128" s="886">
        <f t="shared" si="29"/>
        <v>1</v>
      </c>
      <c r="L128" s="1">
        <v>324</v>
      </c>
      <c r="M128" s="885">
        <f t="shared" si="27"/>
        <v>13.42</v>
      </c>
      <c r="N128" s="885">
        <v>10</v>
      </c>
      <c r="O128" s="1"/>
      <c r="P128" s="1">
        <v>1.7</v>
      </c>
      <c r="Q128" s="385" t="s">
        <v>978</v>
      </c>
      <c r="R128" s="226">
        <f t="shared" si="19"/>
        <v>2.5</v>
      </c>
      <c r="S128" s="251">
        <f>2.5*13.42</f>
        <v>33.549999999999997</v>
      </c>
      <c r="T128" s="18">
        <f>'PRECIOS INSUMOS 2015'!H$21</f>
        <v>12</v>
      </c>
      <c r="U128" s="202">
        <f t="shared" si="21"/>
        <v>30</v>
      </c>
      <c r="V128" s="885">
        <f t="shared" si="22"/>
        <v>7.4515648286140088E-2</v>
      </c>
      <c r="W128" s="894"/>
      <c r="X128" s="894">
        <v>1</v>
      </c>
      <c r="Y128" s="885">
        <f t="shared" si="23"/>
        <v>5.9612518628912072</v>
      </c>
      <c r="Z128" s="224"/>
      <c r="AA128" s="224">
        <f t="shared" si="20"/>
        <v>13.6</v>
      </c>
      <c r="AB128" s="1"/>
      <c r="AC128" s="1"/>
      <c r="AD128" s="202">
        <f t="shared" si="24"/>
        <v>35.96125186289121</v>
      </c>
      <c r="AE128" s="295">
        <f t="shared" si="26"/>
        <v>16474.105355822201</v>
      </c>
      <c r="AF128" s="892">
        <f t="shared" si="25"/>
        <v>35.96125186289121</v>
      </c>
    </row>
    <row r="129" spans="1:32" ht="13.5" thickBot="1" x14ac:dyDescent="0.25">
      <c r="A129" s="893">
        <v>120</v>
      </c>
      <c r="B129" s="12" t="s">
        <v>365</v>
      </c>
      <c r="C129" s="1"/>
      <c r="D129" s="1">
        <v>82</v>
      </c>
      <c r="E129" s="1" t="s">
        <v>1419</v>
      </c>
      <c r="F129" s="1" t="s">
        <v>1420</v>
      </c>
      <c r="G129" s="85" t="s">
        <v>308</v>
      </c>
      <c r="H129" s="885">
        <f t="shared" si="28"/>
        <v>1</v>
      </c>
      <c r="I129" s="1">
        <v>324</v>
      </c>
      <c r="J129" s="44"/>
      <c r="K129" s="886">
        <f t="shared" si="29"/>
        <v>0.39506172839506171</v>
      </c>
      <c r="L129" s="1">
        <v>128</v>
      </c>
      <c r="M129" s="885">
        <f t="shared" si="27"/>
        <v>5.301728395061728</v>
      </c>
      <c r="N129" s="885">
        <v>10</v>
      </c>
      <c r="O129" s="1">
        <v>1.7</v>
      </c>
      <c r="P129" s="1"/>
      <c r="Q129" s="385" t="s">
        <v>283</v>
      </c>
      <c r="R129" s="226">
        <v>0.35</v>
      </c>
      <c r="S129" s="251">
        <v>3355</v>
      </c>
      <c r="T129" s="18">
        <v>18</v>
      </c>
      <c r="U129" s="202">
        <f t="shared" si="21"/>
        <v>6.3</v>
      </c>
      <c r="V129" s="885">
        <f t="shared" si="22"/>
        <v>0.18861773472429211</v>
      </c>
      <c r="W129" s="894">
        <f>I129/L129</f>
        <v>2.53125</v>
      </c>
      <c r="X129" s="894"/>
      <c r="Y129" s="885">
        <f t="shared" si="23"/>
        <v>15.089418777943369</v>
      </c>
      <c r="Z129" s="224">
        <f t="shared" si="18"/>
        <v>34.424999999999997</v>
      </c>
      <c r="AA129" s="224"/>
      <c r="AB129" s="1">
        <v>242.9</v>
      </c>
      <c r="AC129" s="1"/>
      <c r="AD129" s="202">
        <f t="shared" si="24"/>
        <v>21.389418777943369</v>
      </c>
      <c r="AE129" s="295">
        <f t="shared" si="26"/>
        <v>16495.494774600145</v>
      </c>
      <c r="AF129" s="892">
        <f t="shared" si="25"/>
        <v>21.389418777943369</v>
      </c>
    </row>
    <row r="130" spans="1:32" ht="13.5" thickBot="1" x14ac:dyDescent="0.25">
      <c r="A130" s="893">
        <v>121</v>
      </c>
      <c r="B130" s="12" t="s">
        <v>1433</v>
      </c>
      <c r="C130" s="1"/>
      <c r="D130" s="1">
        <v>82</v>
      </c>
      <c r="E130" s="1" t="s">
        <v>266</v>
      </c>
      <c r="F130" s="1" t="s">
        <v>1297</v>
      </c>
      <c r="G130" s="85" t="s">
        <v>308</v>
      </c>
      <c r="H130" s="885">
        <f t="shared" si="28"/>
        <v>1</v>
      </c>
      <c r="I130" s="1">
        <v>324</v>
      </c>
      <c r="J130" s="44"/>
      <c r="K130" s="886">
        <f t="shared" si="29"/>
        <v>3.7037037037037035E-2</v>
      </c>
      <c r="L130" s="1">
        <v>12</v>
      </c>
      <c r="M130" s="885">
        <v>1</v>
      </c>
      <c r="N130" s="885">
        <v>10</v>
      </c>
      <c r="O130" s="1"/>
      <c r="P130" s="1">
        <v>1.7</v>
      </c>
      <c r="Q130" s="385"/>
      <c r="R130" s="226">
        <f t="shared" si="19"/>
        <v>0</v>
      </c>
      <c r="S130" s="251"/>
      <c r="T130" s="841"/>
      <c r="U130" s="202">
        <f t="shared" si="21"/>
        <v>0</v>
      </c>
      <c r="V130" s="885">
        <f t="shared" si="22"/>
        <v>1</v>
      </c>
      <c r="W130" s="894"/>
      <c r="X130" s="894">
        <f>I130/L130</f>
        <v>27</v>
      </c>
      <c r="Y130" s="885">
        <f t="shared" si="23"/>
        <v>80</v>
      </c>
      <c r="Z130" s="224"/>
      <c r="AA130" s="224">
        <f t="shared" si="20"/>
        <v>367.2</v>
      </c>
      <c r="AB130" s="1"/>
      <c r="AC130" s="1"/>
      <c r="AD130" s="202">
        <f t="shared" si="24"/>
        <v>80</v>
      </c>
      <c r="AE130" s="295">
        <f t="shared" si="26"/>
        <v>16575.494774600145</v>
      </c>
      <c r="AF130" s="892">
        <f t="shared" si="25"/>
        <v>80</v>
      </c>
    </row>
    <row r="131" spans="1:32" ht="13.5" thickBot="1" x14ac:dyDescent="0.25">
      <c r="A131" s="893">
        <v>122</v>
      </c>
      <c r="B131" s="12" t="s">
        <v>1450</v>
      </c>
      <c r="C131" s="1"/>
      <c r="D131" s="1">
        <v>84</v>
      </c>
      <c r="E131" s="1" t="s">
        <v>1403</v>
      </c>
      <c r="F131" s="1" t="s">
        <v>1429</v>
      </c>
      <c r="G131" s="85" t="s">
        <v>308</v>
      </c>
      <c r="H131" s="885">
        <f t="shared" si="28"/>
        <v>1</v>
      </c>
      <c r="I131" s="1">
        <v>324</v>
      </c>
      <c r="J131" s="44"/>
      <c r="K131" s="886">
        <f t="shared" si="29"/>
        <v>1</v>
      </c>
      <c r="L131" s="1">
        <v>324</v>
      </c>
      <c r="M131" s="885">
        <f t="shared" si="27"/>
        <v>13.42</v>
      </c>
      <c r="N131" s="885">
        <v>10</v>
      </c>
      <c r="O131" s="1">
        <v>1.36</v>
      </c>
      <c r="P131" s="1"/>
      <c r="Q131" s="385" t="s">
        <v>234</v>
      </c>
      <c r="R131" s="226">
        <f t="shared" si="19"/>
        <v>4.0983606557377046</v>
      </c>
      <c r="S131" s="251">
        <v>55</v>
      </c>
      <c r="T131" s="202">
        <f>'PRECIOS INSUMOS 2015'!C$5</f>
        <v>2</v>
      </c>
      <c r="U131" s="202">
        <f t="shared" si="21"/>
        <v>8.1967213114754092</v>
      </c>
      <c r="V131" s="885">
        <f t="shared" si="22"/>
        <v>7.4515648286140088E-2</v>
      </c>
      <c r="W131" s="894">
        <f>I131/L131</f>
        <v>1</v>
      </c>
      <c r="X131" s="894"/>
      <c r="Y131" s="885">
        <f t="shared" si="23"/>
        <v>5.9612518628912072</v>
      </c>
      <c r="Z131" s="224">
        <f t="shared" si="18"/>
        <v>10.88</v>
      </c>
      <c r="AA131" s="224"/>
      <c r="AB131" s="1"/>
      <c r="AC131" s="1"/>
      <c r="AD131" s="202">
        <f t="shared" si="24"/>
        <v>14.157973174366617</v>
      </c>
      <c r="AE131" s="295">
        <f t="shared" si="26"/>
        <v>16589.652747774511</v>
      </c>
      <c r="AF131" s="892">
        <f t="shared" si="25"/>
        <v>14.157973174366617</v>
      </c>
    </row>
    <row r="132" spans="1:32" ht="13.5" thickBot="1" x14ac:dyDescent="0.25">
      <c r="A132" s="893">
        <v>123</v>
      </c>
      <c r="B132" s="12" t="s">
        <v>1451</v>
      </c>
      <c r="C132" s="1"/>
      <c r="D132" s="1">
        <v>84</v>
      </c>
      <c r="E132" s="1"/>
      <c r="F132" s="1"/>
      <c r="G132" s="85" t="s">
        <v>308</v>
      </c>
      <c r="H132" s="885">
        <f t="shared" si="28"/>
        <v>1</v>
      </c>
      <c r="I132" s="1">
        <v>324</v>
      </c>
      <c r="J132" s="44"/>
      <c r="K132" s="886">
        <f t="shared" si="29"/>
        <v>1</v>
      </c>
      <c r="L132" s="1">
        <v>324</v>
      </c>
      <c r="M132" s="885">
        <f t="shared" si="27"/>
        <v>13.42</v>
      </c>
      <c r="N132" s="885">
        <v>10</v>
      </c>
      <c r="O132" s="1"/>
      <c r="P132" s="1">
        <v>1.7</v>
      </c>
      <c r="Q132" s="385" t="s">
        <v>1452</v>
      </c>
      <c r="R132" s="226">
        <f>S132/13.42</f>
        <v>3.8420268256333832</v>
      </c>
      <c r="S132" s="251">
        <v>51.56</v>
      </c>
      <c r="T132" s="18">
        <f>'PRECIOS INSUMOS 2015'!H$29</f>
        <v>20</v>
      </c>
      <c r="U132" s="202">
        <f t="shared" si="21"/>
        <v>76.840536512667668</v>
      </c>
      <c r="V132" s="885">
        <f t="shared" si="22"/>
        <v>7.4515648286140088E-2</v>
      </c>
      <c r="W132" s="894"/>
      <c r="X132" s="894">
        <v>1</v>
      </c>
      <c r="Y132" s="885">
        <f t="shared" si="23"/>
        <v>5.9612518628912072</v>
      </c>
      <c r="Z132" s="224"/>
      <c r="AA132" s="224">
        <f t="shared" si="20"/>
        <v>13.6</v>
      </c>
      <c r="AB132" s="1"/>
      <c r="AC132" s="1"/>
      <c r="AD132" s="202">
        <f t="shared" si="24"/>
        <v>82.801788375558871</v>
      </c>
      <c r="AE132" s="295">
        <f t="shared" si="26"/>
        <v>16672.454536150071</v>
      </c>
      <c r="AF132" s="892">
        <f t="shared" si="25"/>
        <v>82.801788375558871</v>
      </c>
    </row>
    <row r="133" spans="1:32" ht="13.5" thickBot="1" x14ac:dyDescent="0.25">
      <c r="A133" s="893">
        <v>124</v>
      </c>
      <c r="B133" s="12" t="s">
        <v>1453</v>
      </c>
      <c r="C133" s="1"/>
      <c r="D133" s="1">
        <v>90</v>
      </c>
      <c r="E133" s="85" t="s">
        <v>1403</v>
      </c>
      <c r="F133" s="1" t="s">
        <v>1454</v>
      </c>
      <c r="G133" s="85" t="s">
        <v>308</v>
      </c>
      <c r="H133" s="885">
        <f t="shared" si="28"/>
        <v>1</v>
      </c>
      <c r="I133" s="1">
        <v>324</v>
      </c>
      <c r="J133" s="44"/>
      <c r="K133" s="886">
        <f t="shared" si="29"/>
        <v>0.37037037037037035</v>
      </c>
      <c r="L133" s="1">
        <v>120</v>
      </c>
      <c r="M133" s="885">
        <f t="shared" si="27"/>
        <v>4.9703703703703699</v>
      </c>
      <c r="N133" s="885">
        <v>10</v>
      </c>
      <c r="O133" s="1">
        <v>1.36</v>
      </c>
      <c r="P133" s="1"/>
      <c r="Q133" s="385" t="s">
        <v>234</v>
      </c>
      <c r="R133" s="226">
        <f t="shared" ref="R133:R139" si="30">S133/13.42</f>
        <v>6.7064083457526085</v>
      </c>
      <c r="S133" s="251">
        <v>90</v>
      </c>
      <c r="T133" s="202">
        <f>'PRECIOS INSUMOS 2015'!C$5</f>
        <v>2</v>
      </c>
      <c r="U133" s="202">
        <f t="shared" si="21"/>
        <v>13.412816691505217</v>
      </c>
      <c r="V133" s="885">
        <f t="shared" si="22"/>
        <v>0.20119225037257826</v>
      </c>
      <c r="W133" s="894">
        <f>I133/L133</f>
        <v>2.7</v>
      </c>
      <c r="X133" s="894"/>
      <c r="Y133" s="885">
        <f t="shared" si="23"/>
        <v>16.095380029806261</v>
      </c>
      <c r="Z133" s="224">
        <f t="shared" si="18"/>
        <v>29.376000000000005</v>
      </c>
      <c r="AA133" s="224"/>
      <c r="AB133" s="1"/>
      <c r="AC133" s="1"/>
      <c r="AD133" s="202">
        <f t="shared" si="24"/>
        <v>29.508196721311478</v>
      </c>
      <c r="AE133" s="295">
        <f t="shared" si="26"/>
        <v>16701.962732871383</v>
      </c>
      <c r="AF133" s="892">
        <f t="shared" si="25"/>
        <v>29.508196721311478</v>
      </c>
    </row>
    <row r="134" spans="1:32" ht="13.5" thickBot="1" x14ac:dyDescent="0.25">
      <c r="A134" s="893">
        <v>125</v>
      </c>
      <c r="B134" s="12" t="s">
        <v>1455</v>
      </c>
      <c r="C134" s="1"/>
      <c r="D134" s="1">
        <v>91</v>
      </c>
      <c r="E134" s="85" t="s">
        <v>1403</v>
      </c>
      <c r="F134" s="1" t="s">
        <v>1422</v>
      </c>
      <c r="G134" s="85" t="s">
        <v>308</v>
      </c>
      <c r="H134" s="885">
        <f t="shared" si="28"/>
        <v>1</v>
      </c>
      <c r="I134" s="1">
        <v>324</v>
      </c>
      <c r="J134" s="44"/>
      <c r="K134" s="886">
        <f t="shared" si="29"/>
        <v>0.37037037037037035</v>
      </c>
      <c r="L134" s="1">
        <v>120</v>
      </c>
      <c r="M134" s="885">
        <f t="shared" si="27"/>
        <v>4.9703703703703699</v>
      </c>
      <c r="N134" s="885">
        <v>10</v>
      </c>
      <c r="O134" s="1">
        <v>1.36</v>
      </c>
      <c r="P134" s="1"/>
      <c r="Q134" s="385" t="s">
        <v>234</v>
      </c>
      <c r="R134" s="226">
        <f t="shared" si="30"/>
        <v>6.7064083457526085</v>
      </c>
      <c r="S134" s="251">
        <v>90</v>
      </c>
      <c r="T134" s="202">
        <f>'PRECIOS INSUMOS 2015'!C$5</f>
        <v>2</v>
      </c>
      <c r="U134" s="202">
        <f t="shared" si="21"/>
        <v>13.412816691505217</v>
      </c>
      <c r="V134" s="885">
        <f t="shared" si="22"/>
        <v>0.20119225037257826</v>
      </c>
      <c r="W134" s="894">
        <f>I134/L134</f>
        <v>2.7</v>
      </c>
      <c r="X134" s="894"/>
      <c r="Y134" s="885">
        <f t="shared" si="23"/>
        <v>16.095380029806261</v>
      </c>
      <c r="Z134" s="224">
        <f t="shared" si="18"/>
        <v>29.376000000000005</v>
      </c>
      <c r="AA134" s="224"/>
      <c r="AB134" s="1"/>
      <c r="AC134" s="1"/>
      <c r="AD134" s="202">
        <f t="shared" si="24"/>
        <v>29.508196721311478</v>
      </c>
      <c r="AE134" s="295">
        <f t="shared" si="26"/>
        <v>16731.470929592695</v>
      </c>
      <c r="AF134" s="892">
        <f t="shared" si="25"/>
        <v>29.508196721311478</v>
      </c>
    </row>
    <row r="135" spans="1:32" ht="13.5" thickBot="1" x14ac:dyDescent="0.25">
      <c r="A135" s="893">
        <v>126</v>
      </c>
      <c r="B135" s="12" t="s">
        <v>1456</v>
      </c>
      <c r="C135" s="1"/>
      <c r="D135" s="1">
        <v>93</v>
      </c>
      <c r="E135" s="85" t="s">
        <v>1403</v>
      </c>
      <c r="F135" s="1" t="s">
        <v>1457</v>
      </c>
      <c r="G135" s="85" t="s">
        <v>308</v>
      </c>
      <c r="H135" s="885">
        <f t="shared" si="28"/>
        <v>1</v>
      </c>
      <c r="I135" s="1">
        <v>324</v>
      </c>
      <c r="J135" s="44"/>
      <c r="K135" s="886">
        <f t="shared" si="29"/>
        <v>0.18518518518518517</v>
      </c>
      <c r="L135" s="1">
        <v>60</v>
      </c>
      <c r="M135" s="885">
        <f t="shared" si="27"/>
        <v>2.4851851851851849</v>
      </c>
      <c r="N135" s="885">
        <v>10</v>
      </c>
      <c r="O135" s="1">
        <v>1.36</v>
      </c>
      <c r="P135" s="1"/>
      <c r="Q135" s="385" t="s">
        <v>234</v>
      </c>
      <c r="R135" s="226">
        <f t="shared" si="30"/>
        <v>15.797317436661698</v>
      </c>
      <c r="S135" s="251">
        <v>212</v>
      </c>
      <c r="T135" s="202">
        <f>'PRECIOS INSUMOS 2015'!C$5</f>
        <v>2</v>
      </c>
      <c r="U135" s="202">
        <f t="shared" si="21"/>
        <v>31.594634873323397</v>
      </c>
      <c r="V135" s="885">
        <f t="shared" si="22"/>
        <v>0.40238450074515653</v>
      </c>
      <c r="W135" s="894">
        <f>I135/L135</f>
        <v>5.4</v>
      </c>
      <c r="X135" s="894"/>
      <c r="Y135" s="885">
        <f t="shared" si="23"/>
        <v>32.190760059612522</v>
      </c>
      <c r="Z135" s="224">
        <f t="shared" si="18"/>
        <v>58.75200000000001</v>
      </c>
      <c r="AA135" s="224"/>
      <c r="AB135" s="1"/>
      <c r="AC135" s="1"/>
      <c r="AD135" s="202">
        <f t="shared" si="24"/>
        <v>63.785394932935915</v>
      </c>
      <c r="AE135" s="295">
        <f t="shared" si="26"/>
        <v>16795.256324525631</v>
      </c>
      <c r="AF135" s="892">
        <f t="shared" si="25"/>
        <v>63.785394932935915</v>
      </c>
    </row>
    <row r="136" spans="1:32" ht="13.5" thickBot="1" x14ac:dyDescent="0.25">
      <c r="A136" s="893">
        <v>127</v>
      </c>
      <c r="B136" s="12" t="s">
        <v>1458</v>
      </c>
      <c r="C136" s="1"/>
      <c r="D136" s="1">
        <v>93</v>
      </c>
      <c r="E136" s="1" t="s">
        <v>266</v>
      </c>
      <c r="F136" s="1"/>
      <c r="G136" s="1" t="s">
        <v>437</v>
      </c>
      <c r="H136" s="226">
        <f>276/13.42</f>
        <v>20.566318926974663</v>
      </c>
      <c r="I136" s="1">
        <v>6000</v>
      </c>
      <c r="J136" s="1"/>
      <c r="K136" s="896">
        <f>L136/21.74</f>
        <v>0.91996320147194122</v>
      </c>
      <c r="L136" s="1">
        <v>20</v>
      </c>
      <c r="M136" s="895">
        <v>1.5</v>
      </c>
      <c r="N136" s="885">
        <v>10</v>
      </c>
      <c r="O136" s="1"/>
      <c r="P136" s="1">
        <v>1.7</v>
      </c>
      <c r="Q136" s="385" t="s">
        <v>983</v>
      </c>
      <c r="R136" s="226">
        <f t="shared" si="30"/>
        <v>447.09388971684052</v>
      </c>
      <c r="S136" s="251">
        <v>6000</v>
      </c>
      <c r="T136" s="57">
        <f>'PRECIOS INSUMOS 2015'!C430</f>
        <v>1.4</v>
      </c>
      <c r="U136" s="202">
        <f t="shared" si="21"/>
        <v>625.93144560357666</v>
      </c>
      <c r="V136" s="885">
        <f t="shared" si="22"/>
        <v>13.710879284649776</v>
      </c>
      <c r="W136" s="894"/>
      <c r="X136" s="894">
        <f>I136/L136</f>
        <v>300</v>
      </c>
      <c r="Y136" s="885">
        <f t="shared" si="23"/>
        <v>1096.870342771982</v>
      </c>
      <c r="Z136" s="224"/>
      <c r="AA136" s="224">
        <f t="shared" si="20"/>
        <v>4080</v>
      </c>
      <c r="AB136" s="1"/>
      <c r="AC136" s="1"/>
      <c r="AD136" s="202">
        <f t="shared" si="24"/>
        <v>1722.8017883755588</v>
      </c>
      <c r="AE136" s="295">
        <f t="shared" si="26"/>
        <v>18518.058112901192</v>
      </c>
      <c r="AF136" s="892">
        <f t="shared" si="25"/>
        <v>1722.8017883755588</v>
      </c>
    </row>
    <row r="137" spans="1:32" ht="13.5" thickBot="1" x14ac:dyDescent="0.25">
      <c r="A137" s="893">
        <v>128</v>
      </c>
      <c r="B137" s="12"/>
      <c r="C137" s="1"/>
      <c r="D137" s="1"/>
      <c r="E137" s="1"/>
      <c r="F137" s="1"/>
      <c r="G137" s="1"/>
      <c r="H137" s="226"/>
      <c r="I137" s="1">
        <v>6000</v>
      </c>
      <c r="J137" s="1"/>
      <c r="K137" s="896">
        <f>L137/21.74</f>
        <v>9.1996320147194126</v>
      </c>
      <c r="L137" s="1">
        <v>200</v>
      </c>
      <c r="M137" s="895"/>
      <c r="N137" s="885"/>
      <c r="O137" s="1"/>
      <c r="P137" s="1">
        <v>1.7</v>
      </c>
      <c r="Q137" s="385"/>
      <c r="R137" s="226"/>
      <c r="S137" s="251"/>
      <c r="T137" s="104"/>
      <c r="U137" s="202"/>
      <c r="V137" s="885"/>
      <c r="W137" s="894"/>
      <c r="X137" s="894">
        <f>I137/L137</f>
        <v>30</v>
      </c>
      <c r="Y137" s="885"/>
      <c r="Z137" s="224"/>
      <c r="AA137" s="224">
        <f t="shared" si="20"/>
        <v>408</v>
      </c>
      <c r="AB137" s="1"/>
      <c r="AC137" s="1"/>
      <c r="AD137" s="202"/>
      <c r="AE137" s="295"/>
      <c r="AF137" s="892">
        <f t="shared" si="25"/>
        <v>0</v>
      </c>
    </row>
    <row r="138" spans="1:32" ht="13.5" thickBot="1" x14ac:dyDescent="0.25">
      <c r="A138" s="893">
        <v>129</v>
      </c>
      <c r="B138" s="12" t="s">
        <v>1459</v>
      </c>
      <c r="C138" s="1"/>
      <c r="D138" s="1">
        <v>93</v>
      </c>
      <c r="E138" s="1"/>
      <c r="F138" s="1"/>
      <c r="G138" s="1"/>
      <c r="H138" s="226"/>
      <c r="I138" s="1">
        <v>6000</v>
      </c>
      <c r="J138" s="1"/>
      <c r="K138" s="896">
        <f>L138/21.74</f>
        <v>2.2999080036798532</v>
      </c>
      <c r="L138" s="1">
        <v>50</v>
      </c>
      <c r="M138" s="895"/>
      <c r="N138" s="885"/>
      <c r="O138" s="1"/>
      <c r="P138" s="1">
        <v>1.7</v>
      </c>
      <c r="Q138" s="385"/>
      <c r="R138" s="226"/>
      <c r="S138" s="251"/>
      <c r="T138" s="104"/>
      <c r="U138" s="202"/>
      <c r="V138" s="885"/>
      <c r="W138" s="894"/>
      <c r="X138" s="894">
        <f>I138/L138</f>
        <v>120</v>
      </c>
      <c r="Y138" s="885"/>
      <c r="Z138" s="224"/>
      <c r="AA138" s="224">
        <f t="shared" si="20"/>
        <v>1632</v>
      </c>
      <c r="AB138" s="1"/>
      <c r="AC138" s="1"/>
      <c r="AD138" s="202"/>
      <c r="AE138" s="295"/>
      <c r="AF138" s="892">
        <f t="shared" si="25"/>
        <v>0</v>
      </c>
    </row>
    <row r="139" spans="1:32" ht="13.5" thickBot="1" x14ac:dyDescent="0.25">
      <c r="A139" s="915">
        <v>130</v>
      </c>
      <c r="B139" s="312" t="s">
        <v>1460</v>
      </c>
      <c r="C139" s="1"/>
      <c r="D139" s="1">
        <v>94</v>
      </c>
      <c r="E139" s="85" t="s">
        <v>1403</v>
      </c>
      <c r="F139" s="1" t="s">
        <v>1410</v>
      </c>
      <c r="G139" s="85" t="s">
        <v>308</v>
      </c>
      <c r="H139" s="885">
        <v>1</v>
      </c>
      <c r="I139" s="1">
        <f>324*2</f>
        <v>648</v>
      </c>
      <c r="J139" s="44"/>
      <c r="K139" s="886">
        <f>L139/324</f>
        <v>0.24691358024691357</v>
      </c>
      <c r="L139" s="1">
        <v>80</v>
      </c>
      <c r="M139" s="885">
        <f>K139*13.42</f>
        <v>3.3135802469135802</v>
      </c>
      <c r="N139" s="885">
        <v>10</v>
      </c>
      <c r="O139" s="1">
        <v>1.36</v>
      </c>
      <c r="P139" s="1"/>
      <c r="Q139" s="385" t="s">
        <v>234</v>
      </c>
      <c r="R139" s="226">
        <f t="shared" si="30"/>
        <v>11.177347242921014</v>
      </c>
      <c r="S139" s="251">
        <v>150</v>
      </c>
      <c r="T139" s="202">
        <f>'PRECIOS INSUMOS 2015'!C$5</f>
        <v>2</v>
      </c>
      <c r="U139" s="202">
        <f>R139*T139</f>
        <v>22.354694485842028</v>
      </c>
      <c r="V139" s="885">
        <f>H139/M139</f>
        <v>0.30178837555886734</v>
      </c>
      <c r="W139" s="894">
        <f>I139/L139</f>
        <v>8.1</v>
      </c>
      <c r="X139" s="894"/>
      <c r="Y139" s="885">
        <f>N139*V139*8</f>
        <v>24.143070044709386</v>
      </c>
      <c r="Z139" s="338">
        <f t="shared" si="18"/>
        <v>88.128</v>
      </c>
      <c r="AA139" s="338"/>
      <c r="AB139" s="1"/>
      <c r="AC139" s="1"/>
      <c r="AD139" s="202">
        <f>U139+Y139</f>
        <v>46.497764530551414</v>
      </c>
      <c r="AE139" s="295">
        <f>AE138+AD139</f>
        <v>46.497764530551414</v>
      </c>
      <c r="AF139" s="892">
        <f>U139+Y139</f>
        <v>46.497764530551414</v>
      </c>
    </row>
    <row r="140" spans="1:32" ht="13.5" thickBot="1" x14ac:dyDescent="0.25">
      <c r="A140" s="2174" t="s">
        <v>219</v>
      </c>
      <c r="B140" s="2175"/>
      <c r="C140" s="916"/>
      <c r="D140" s="917"/>
      <c r="E140" s="917"/>
      <c r="F140" s="917"/>
      <c r="G140" s="917"/>
      <c r="H140" s="918"/>
      <c r="I140" s="917"/>
      <c r="J140" s="917"/>
      <c r="K140" s="919"/>
      <c r="L140" s="917"/>
      <c r="M140" s="920"/>
      <c r="N140" s="921"/>
      <c r="O140" s="917"/>
      <c r="P140" s="917"/>
      <c r="Q140" s="922"/>
      <c r="R140" s="921"/>
      <c r="S140" s="923"/>
      <c r="T140" s="923"/>
      <c r="U140" s="921">
        <f>SUM(U12:U139)</f>
        <v>13786.137764530522</v>
      </c>
      <c r="V140" s="924">
        <f>SUM(V12:V139)</f>
        <v>59.730226411264901</v>
      </c>
      <c r="W140" s="924"/>
      <c r="X140" s="924"/>
      <c r="Y140" s="924">
        <f>V140*40</f>
        <v>2389.2090564505961</v>
      </c>
      <c r="Z140" s="925">
        <f>SUM(Z12:Z139)</f>
        <v>1746.8874304439757</v>
      </c>
      <c r="AA140" s="926">
        <f>SUM(AA12:AA139)</f>
        <v>15971.160000000011</v>
      </c>
      <c r="AB140" s="27">
        <f>SUM(AB12:AB139)</f>
        <v>4372.2000000000007</v>
      </c>
      <c r="AC140" s="27"/>
      <c r="AD140" s="918">
        <f>SUM(AD12:AD139)</f>
        <v>18564.555877431743</v>
      </c>
      <c r="AE140" s="923"/>
      <c r="AF140" s="892"/>
    </row>
    <row r="141" spans="1:32" x14ac:dyDescent="0.2">
      <c r="U141" s="267"/>
      <c r="V141" s="67"/>
      <c r="Z141" s="2176"/>
      <c r="AA141" s="2176"/>
      <c r="AD141" s="326"/>
      <c r="AE141" s="326"/>
      <c r="AF141" s="892"/>
    </row>
    <row r="142" spans="1:32" x14ac:dyDescent="0.2">
      <c r="X142" s="931"/>
      <c r="Y142" s="931"/>
      <c r="Z142" s="931"/>
      <c r="AE142" s="326"/>
      <c r="AF142" s="892"/>
    </row>
    <row r="143" spans="1:32" x14ac:dyDescent="0.2">
      <c r="Q143" s="45"/>
      <c r="R143" s="67"/>
      <c r="U143" s="326"/>
      <c r="V143" s="928"/>
      <c r="Y143" s="932">
        <f>AD140*13.42</f>
        <v>249136.339875134</v>
      </c>
    </row>
    <row r="144" spans="1:32" x14ac:dyDescent="0.2">
      <c r="Q144" s="45"/>
      <c r="R144" s="67"/>
      <c r="U144" s="326"/>
      <c r="V144" s="928"/>
      <c r="Z144" s="2177"/>
      <c r="AA144" s="2177"/>
    </row>
    <row r="145" spans="17:32" x14ac:dyDescent="0.2">
      <c r="Q145" s="45"/>
      <c r="R145" s="67"/>
      <c r="U145" s="326"/>
      <c r="V145" s="928"/>
    </row>
    <row r="146" spans="17:32" x14ac:dyDescent="0.2">
      <c r="Q146" s="45"/>
      <c r="R146" s="67"/>
      <c r="U146" s="326"/>
      <c r="V146" s="928"/>
      <c r="AF146" s="892"/>
    </row>
    <row r="147" spans="17:32" x14ac:dyDescent="0.2">
      <c r="Q147" s="45"/>
      <c r="R147" s="67"/>
      <c r="U147" s="326"/>
      <c r="V147" s="928"/>
    </row>
    <row r="148" spans="17:32" x14ac:dyDescent="0.2">
      <c r="Q148" s="45"/>
      <c r="R148" s="67"/>
      <c r="U148" s="326"/>
      <c r="V148" s="928"/>
    </row>
    <row r="149" spans="17:32" x14ac:dyDescent="0.2">
      <c r="Q149" s="45"/>
      <c r="R149" s="67"/>
      <c r="U149" s="326"/>
      <c r="V149" s="928"/>
    </row>
    <row r="150" spans="17:32" x14ac:dyDescent="0.2">
      <c r="Q150" s="45"/>
      <c r="R150" s="67"/>
      <c r="U150" s="326"/>
      <c r="V150" s="928"/>
    </row>
    <row r="151" spans="17:32" x14ac:dyDescent="0.2">
      <c r="Q151" s="45"/>
      <c r="R151" s="67"/>
    </row>
    <row r="152" spans="17:32" x14ac:dyDescent="0.2">
      <c r="Q152" s="45"/>
      <c r="R152" s="67"/>
    </row>
    <row r="153" spans="17:32" x14ac:dyDescent="0.2">
      <c r="Q153" s="45"/>
      <c r="R153" s="67"/>
      <c r="U153" s="326"/>
      <c r="V153" s="928"/>
    </row>
    <row r="154" spans="17:32" x14ac:dyDescent="0.2">
      <c r="Q154" s="45"/>
      <c r="R154" s="67"/>
    </row>
    <row r="155" spans="17:32" x14ac:dyDescent="0.2">
      <c r="Q155" s="45"/>
      <c r="R155" s="67"/>
      <c r="U155" s="326"/>
      <c r="V155" s="928"/>
    </row>
    <row r="156" spans="17:32" x14ac:dyDescent="0.2">
      <c r="Q156" s="45"/>
      <c r="R156" s="67"/>
      <c r="U156" s="326"/>
      <c r="V156" s="928"/>
      <c r="Z156" s="227"/>
    </row>
    <row r="157" spans="17:32" x14ac:dyDescent="0.2">
      <c r="Q157" s="45"/>
      <c r="R157" s="67"/>
    </row>
    <row r="158" spans="17:32" x14ac:dyDescent="0.2">
      <c r="Q158" s="45"/>
      <c r="R158" s="67"/>
    </row>
    <row r="159" spans="17:32" x14ac:dyDescent="0.2">
      <c r="Q159" s="45"/>
      <c r="R159" s="67"/>
    </row>
    <row r="160" spans="17:32" x14ac:dyDescent="0.2">
      <c r="Q160" s="45"/>
      <c r="R160" s="67"/>
    </row>
    <row r="161" spans="17:22" x14ac:dyDescent="0.2">
      <c r="Q161" s="45"/>
      <c r="R161" s="67"/>
    </row>
    <row r="162" spans="17:22" x14ac:dyDescent="0.2">
      <c r="Q162" s="45"/>
      <c r="R162" s="67"/>
      <c r="U162" s="326"/>
      <c r="V162" s="928"/>
    </row>
    <row r="164" spans="17:22" x14ac:dyDescent="0.2">
      <c r="U164" s="267"/>
      <c r="V164" s="67"/>
    </row>
  </sheetData>
  <autoFilter ref="A10:AF140"/>
  <mergeCells count="22">
    <mergeCell ref="A1:AD1"/>
    <mergeCell ref="A2:AD2"/>
    <mergeCell ref="A5:B5"/>
    <mergeCell ref="D5:F5"/>
    <mergeCell ref="H5:R5"/>
    <mergeCell ref="T5:AA5"/>
    <mergeCell ref="A140:B140"/>
    <mergeCell ref="Z141:AA141"/>
    <mergeCell ref="Z144:AA144"/>
    <mergeCell ref="W8:X9"/>
    <mergeCell ref="Z8:AA9"/>
    <mergeCell ref="G9:G10"/>
    <mergeCell ref="H9:H10"/>
    <mergeCell ref="I9:I10"/>
    <mergeCell ref="H8:M8"/>
    <mergeCell ref="N8:N10"/>
    <mergeCell ref="O8:P9"/>
    <mergeCell ref="Q8:U9"/>
    <mergeCell ref="A7:A10"/>
    <mergeCell ref="B7:B10"/>
    <mergeCell ref="C7:C10"/>
    <mergeCell ref="D7:D10"/>
  </mergeCells>
  <phoneticPr fontId="2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R181"/>
  <sheetViews>
    <sheetView showGridLines="0" showZeros="0" defaultGridColor="0" colorId="23" zoomScaleNormal="100" workbookViewId="0">
      <pane xSplit="15" ySplit="7" topLeftCell="Q164" activePane="bottomRight" state="frozen"/>
      <selection pane="topRight" activeCell="P1" sqref="P1"/>
      <selection pane="bottomLeft" activeCell="A8" sqref="A8"/>
      <selection pane="bottomRight" activeCell="H175" sqref="H175"/>
    </sheetView>
  </sheetViews>
  <sheetFormatPr baseColWidth="10" defaultColWidth="11.42578125" defaultRowHeight="12.75" x14ac:dyDescent="0.2"/>
  <cols>
    <col min="1" max="1" width="4.42578125" style="282" customWidth="1"/>
    <col min="2" max="2" width="23.7109375" style="287" customWidth="1"/>
    <col min="3" max="3" width="3.7109375" style="283" customWidth="1"/>
    <col min="4" max="4" width="9.28515625" style="282" customWidth="1"/>
    <col min="5" max="5" width="10.28515625" style="282" customWidth="1"/>
    <col min="6" max="6" width="3.7109375" style="282" customWidth="1"/>
    <col min="7" max="7" width="4.28515625" style="282" customWidth="1"/>
    <col min="8" max="8" width="7" style="330" customWidth="1"/>
    <col min="9" max="9" width="5.7109375" style="288" customWidth="1"/>
    <col min="10" max="10" width="6.42578125" style="346" customWidth="1"/>
    <col min="11" max="11" width="11.5703125" style="283" customWidth="1"/>
    <col min="12" max="12" width="6.5703125" style="288" customWidth="1"/>
    <col min="13" max="13" width="6" style="288" customWidth="1"/>
    <col min="14" max="14" width="9.28515625" style="289" customWidth="1"/>
    <col min="15" max="15" width="7.28515625" style="288" customWidth="1"/>
    <col min="16" max="16" width="8.42578125" style="290" customWidth="1"/>
    <col min="17" max="17" width="9.42578125" style="288" customWidth="1"/>
    <col min="18" max="18" width="9.28515625" style="191" customWidth="1"/>
    <col min="19" max="16384" width="11.42578125" style="191"/>
  </cols>
  <sheetData>
    <row r="1" spans="1:17" ht="20.25" x14ac:dyDescent="0.3">
      <c r="A1" s="2062" t="s">
        <v>231</v>
      </c>
      <c r="B1" s="2063"/>
      <c r="C1" s="2063"/>
      <c r="D1" s="2063"/>
      <c r="E1" s="2063"/>
      <c r="F1" s="2063"/>
      <c r="G1" s="2063"/>
      <c r="H1" s="2063"/>
      <c r="I1" s="2063"/>
      <c r="J1" s="2064"/>
      <c r="K1" s="2063"/>
      <c r="L1" s="2063"/>
      <c r="M1" s="2063"/>
      <c r="N1" s="2063"/>
      <c r="O1" s="2063"/>
      <c r="P1" s="2063"/>
      <c r="Q1" s="2066"/>
    </row>
    <row r="2" spans="1:17" ht="15.75" x14ac:dyDescent="0.25">
      <c r="A2" s="2067" t="s">
        <v>630</v>
      </c>
      <c r="B2" s="2068"/>
      <c r="C2" s="2068"/>
      <c r="D2" s="2068"/>
      <c r="E2" s="2068"/>
      <c r="F2" s="2068"/>
      <c r="G2" s="2068"/>
      <c r="H2" s="2068"/>
      <c r="I2" s="2068"/>
      <c r="J2" s="2069"/>
      <c r="K2" s="2068"/>
      <c r="L2" s="2068"/>
      <c r="M2" s="2068"/>
      <c r="N2" s="2068"/>
      <c r="O2" s="2068"/>
      <c r="P2" s="2068"/>
      <c r="Q2" s="2071"/>
    </row>
    <row r="3" spans="1:17" ht="16.5" thickBot="1" x14ac:dyDescent="0.3">
      <c r="A3" s="2199" t="s">
        <v>1968</v>
      </c>
      <c r="B3" s="2200"/>
      <c r="C3" s="2200"/>
      <c r="D3" s="2200"/>
      <c r="E3" s="2075" t="s">
        <v>277</v>
      </c>
      <c r="F3" s="2075"/>
      <c r="G3" s="2075"/>
      <c r="H3" s="2075"/>
      <c r="I3" s="2075"/>
      <c r="J3" s="327">
        <v>17</v>
      </c>
      <c r="K3" s="192" t="s">
        <v>278</v>
      </c>
      <c r="L3" s="192"/>
      <c r="M3" s="2077" t="s">
        <v>279</v>
      </c>
      <c r="N3" s="2077"/>
      <c r="O3" s="2077"/>
      <c r="P3" s="89"/>
      <c r="Q3" s="20"/>
    </row>
    <row r="4" spans="1:17" ht="13.5" thickBot="1" x14ac:dyDescent="0.25">
      <c r="A4" s="2102" t="s">
        <v>223</v>
      </c>
      <c r="B4" s="2126" t="s">
        <v>1975</v>
      </c>
      <c r="C4" s="2141" t="s">
        <v>252</v>
      </c>
      <c r="D4" s="2056" t="s">
        <v>216</v>
      </c>
      <c r="E4" s="2057"/>
      <c r="F4" s="2057"/>
      <c r="G4" s="2057"/>
      <c r="H4" s="2057"/>
      <c r="I4" s="2057"/>
      <c r="J4" s="2208"/>
      <c r="K4" s="2057"/>
      <c r="L4" s="2057"/>
      <c r="M4" s="2057"/>
      <c r="N4" s="2059"/>
      <c r="O4" s="2057" t="s">
        <v>217</v>
      </c>
      <c r="P4" s="2057"/>
      <c r="Q4" s="2059"/>
    </row>
    <row r="5" spans="1:17" x14ac:dyDescent="0.2">
      <c r="A5" s="2102"/>
      <c r="B5" s="2126"/>
      <c r="C5" s="2116"/>
      <c r="D5" s="22"/>
      <c r="E5" s="23"/>
      <c r="F5" s="22"/>
      <c r="G5" s="2081" t="s">
        <v>287</v>
      </c>
      <c r="H5" s="2137" t="s">
        <v>288</v>
      </c>
      <c r="I5" s="2089" t="s">
        <v>235</v>
      </c>
      <c r="J5" s="2207"/>
      <c r="K5" s="2089" t="s">
        <v>218</v>
      </c>
      <c r="L5" s="2090"/>
      <c r="M5" s="2090"/>
      <c r="N5" s="2091"/>
      <c r="O5" s="2201" t="s">
        <v>221</v>
      </c>
      <c r="P5" s="2204" t="s">
        <v>222</v>
      </c>
      <c r="Q5" s="2141" t="s">
        <v>296</v>
      </c>
    </row>
    <row r="6" spans="1:17" ht="13.5" thickBot="1" x14ac:dyDescent="0.25">
      <c r="A6" s="2102"/>
      <c r="B6" s="2126"/>
      <c r="C6" s="2116"/>
      <c r="D6" s="25" t="s">
        <v>236</v>
      </c>
      <c r="E6" s="21" t="s">
        <v>237</v>
      </c>
      <c r="F6" s="2161" t="s">
        <v>226</v>
      </c>
      <c r="G6" s="2082"/>
      <c r="H6" s="2138"/>
      <c r="I6" s="2092"/>
      <c r="J6" s="2094"/>
      <c r="K6" s="2092"/>
      <c r="L6" s="2093"/>
      <c r="M6" s="2093"/>
      <c r="N6" s="2094"/>
      <c r="O6" s="2202"/>
      <c r="P6" s="2205"/>
      <c r="Q6" s="2142"/>
    </row>
    <row r="7" spans="1:17" ht="13.5" thickBot="1" x14ac:dyDescent="0.25">
      <c r="A7" s="2103"/>
      <c r="B7" s="2094"/>
      <c r="C7" s="2117"/>
      <c r="D7" s="24" t="s">
        <v>238</v>
      </c>
      <c r="E7" s="26" t="s">
        <v>238</v>
      </c>
      <c r="F7" s="2162"/>
      <c r="G7" s="2083"/>
      <c r="H7" s="2139"/>
      <c r="I7" s="30" t="s">
        <v>239</v>
      </c>
      <c r="J7" s="49" t="s">
        <v>240</v>
      </c>
      <c r="K7" s="30" t="s">
        <v>225</v>
      </c>
      <c r="L7" s="30" t="s">
        <v>220</v>
      </c>
      <c r="M7" s="30" t="s">
        <v>227</v>
      </c>
      <c r="N7" s="49" t="s">
        <v>241</v>
      </c>
      <c r="O7" s="2203"/>
      <c r="P7" s="2206"/>
      <c r="Q7" s="2143"/>
    </row>
    <row r="8" spans="1:17" s="196" customFormat="1" ht="13.5" thickBot="1" x14ac:dyDescent="0.25">
      <c r="A8" s="30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3" t="s">
        <v>298</v>
      </c>
      <c r="O8" s="32" t="s">
        <v>299</v>
      </c>
      <c r="P8" s="30" t="s">
        <v>300</v>
      </c>
      <c r="Q8" s="30" t="s">
        <v>470</v>
      </c>
    </row>
    <row r="9" spans="1:17" x14ac:dyDescent="0.2">
      <c r="A9" s="328" t="s">
        <v>441</v>
      </c>
      <c r="B9" s="212" t="s">
        <v>253</v>
      </c>
      <c r="C9" s="207">
        <v>-40</v>
      </c>
      <c r="D9" s="207" t="s">
        <v>254</v>
      </c>
      <c r="E9" s="254" t="s">
        <v>255</v>
      </c>
      <c r="F9" s="207" t="s">
        <v>308</v>
      </c>
      <c r="G9" s="207">
        <v>1</v>
      </c>
      <c r="H9" s="329">
        <v>1.25</v>
      </c>
      <c r="I9" s="209">
        <v>10</v>
      </c>
      <c r="J9" s="209"/>
      <c r="K9" s="13" t="s">
        <v>234</v>
      </c>
      <c r="L9" s="13">
        <v>32.4</v>
      </c>
      <c r="M9" s="13">
        <f>'PRECIOS INSUMOS 2015'!C$5</f>
        <v>2</v>
      </c>
      <c r="N9" s="18">
        <f t="shared" ref="N9:N72" si="0">M9*L9</f>
        <v>64.8</v>
      </c>
      <c r="O9" s="209">
        <f t="shared" ref="O9:O20" si="1">G9/H9</f>
        <v>0.8</v>
      </c>
      <c r="P9" s="81">
        <f>O9*(I14+J9)*8</f>
        <v>64</v>
      </c>
      <c r="Q9" s="306">
        <f t="shared" ref="Q9:Q72" si="2">N9+P9</f>
        <v>128.80000000000001</v>
      </c>
    </row>
    <row r="10" spans="1:17" x14ac:dyDescent="0.2">
      <c r="A10" s="328" t="s">
        <v>442</v>
      </c>
      <c r="B10" s="212" t="s">
        <v>256</v>
      </c>
      <c r="C10" s="207">
        <v>-33</v>
      </c>
      <c r="D10" s="207" t="s">
        <v>257</v>
      </c>
      <c r="E10" s="254" t="s">
        <v>329</v>
      </c>
      <c r="F10" s="207" t="s">
        <v>308</v>
      </c>
      <c r="G10" s="207">
        <v>1</v>
      </c>
      <c r="H10" s="330">
        <v>4</v>
      </c>
      <c r="I10" s="209">
        <v>10</v>
      </c>
      <c r="J10" s="209"/>
      <c r="K10" s="13" t="s">
        <v>234</v>
      </c>
      <c r="L10" s="13">
        <v>3.12</v>
      </c>
      <c r="M10" s="13">
        <f>'PRECIOS INSUMOS 2015'!C$5</f>
        <v>2</v>
      </c>
      <c r="N10" s="18">
        <f t="shared" si="0"/>
        <v>6.24</v>
      </c>
      <c r="O10" s="209">
        <f t="shared" si="1"/>
        <v>0.25</v>
      </c>
      <c r="P10" s="81">
        <f t="shared" ref="P10:P20" si="3">O10*(I10+J10)*8</f>
        <v>20</v>
      </c>
      <c r="Q10" s="306">
        <f t="shared" si="2"/>
        <v>26.240000000000002</v>
      </c>
    </row>
    <row r="11" spans="1:17" x14ac:dyDescent="0.2">
      <c r="A11" s="328" t="s">
        <v>443</v>
      </c>
      <c r="B11" s="212" t="s">
        <v>258</v>
      </c>
      <c r="C11" s="207">
        <v>-23</v>
      </c>
      <c r="D11" s="207" t="s">
        <v>483</v>
      </c>
      <c r="E11" s="254" t="s">
        <v>255</v>
      </c>
      <c r="F11" s="207" t="s">
        <v>308</v>
      </c>
      <c r="G11" s="207">
        <v>1</v>
      </c>
      <c r="H11" s="330">
        <v>1.25</v>
      </c>
      <c r="I11" s="209">
        <v>10</v>
      </c>
      <c r="J11" s="209"/>
      <c r="K11" s="13" t="s">
        <v>234</v>
      </c>
      <c r="L11" s="13">
        <v>32.4</v>
      </c>
      <c r="M11" s="13">
        <f>'PRECIOS INSUMOS 2015'!C$5</f>
        <v>2</v>
      </c>
      <c r="N11" s="18">
        <f t="shared" si="0"/>
        <v>64.8</v>
      </c>
      <c r="O11" s="209">
        <f t="shared" si="1"/>
        <v>0.8</v>
      </c>
      <c r="P11" s="81">
        <f t="shared" si="3"/>
        <v>64</v>
      </c>
      <c r="Q11" s="306">
        <f t="shared" si="2"/>
        <v>128.80000000000001</v>
      </c>
    </row>
    <row r="12" spans="1:17" x14ac:dyDescent="0.2">
      <c r="A12" s="328" t="s">
        <v>444</v>
      </c>
      <c r="B12" s="212" t="s">
        <v>256</v>
      </c>
      <c r="C12" s="207">
        <v>-21</v>
      </c>
      <c r="D12" s="207" t="s">
        <v>257</v>
      </c>
      <c r="E12" s="254" t="s">
        <v>329</v>
      </c>
      <c r="F12" s="207" t="s">
        <v>308</v>
      </c>
      <c r="G12" s="207">
        <v>1</v>
      </c>
      <c r="H12" s="330">
        <v>4</v>
      </c>
      <c r="I12" s="209">
        <v>10</v>
      </c>
      <c r="J12" s="209"/>
      <c r="K12" s="13" t="s">
        <v>234</v>
      </c>
      <c r="L12" s="13">
        <v>3.12</v>
      </c>
      <c r="M12" s="13">
        <f>'PRECIOS INSUMOS 2015'!C$5</f>
        <v>2</v>
      </c>
      <c r="N12" s="18">
        <f t="shared" si="0"/>
        <v>6.24</v>
      </c>
      <c r="O12" s="209">
        <f t="shared" si="1"/>
        <v>0.25</v>
      </c>
      <c r="P12" s="81">
        <f t="shared" si="3"/>
        <v>20</v>
      </c>
      <c r="Q12" s="306">
        <f t="shared" si="2"/>
        <v>26.240000000000002</v>
      </c>
    </row>
    <row r="13" spans="1:17" x14ac:dyDescent="0.2">
      <c r="A13" s="328" t="s">
        <v>445</v>
      </c>
      <c r="B13" s="212" t="s">
        <v>259</v>
      </c>
      <c r="C13" s="207">
        <v>-19</v>
      </c>
      <c r="D13" s="207" t="s">
        <v>483</v>
      </c>
      <c r="E13" s="254" t="s">
        <v>260</v>
      </c>
      <c r="F13" s="207" t="s">
        <v>308</v>
      </c>
      <c r="G13" s="207">
        <v>1</v>
      </c>
      <c r="H13" s="330">
        <v>0.21</v>
      </c>
      <c r="I13" s="209">
        <v>10</v>
      </c>
      <c r="J13" s="209"/>
      <c r="K13" s="13" t="s">
        <v>234</v>
      </c>
      <c r="L13" s="13">
        <f>270.95/13.42</f>
        <v>20.190014903129658</v>
      </c>
      <c r="M13" s="13">
        <f>'PRECIOS INSUMOS 2015'!C$5</f>
        <v>2</v>
      </c>
      <c r="N13" s="18">
        <f t="shared" si="0"/>
        <v>40.380029806259316</v>
      </c>
      <c r="O13" s="209">
        <f t="shared" si="1"/>
        <v>4.7619047619047619</v>
      </c>
      <c r="P13" s="81">
        <f t="shared" si="3"/>
        <v>380.95238095238096</v>
      </c>
      <c r="Q13" s="306">
        <f t="shared" si="2"/>
        <v>421.33241075864026</v>
      </c>
    </row>
    <row r="14" spans="1:17" x14ac:dyDescent="0.2">
      <c r="A14" s="328" t="s">
        <v>446</v>
      </c>
      <c r="B14" s="212" t="s">
        <v>245</v>
      </c>
      <c r="C14" s="207">
        <v>-18</v>
      </c>
      <c r="D14" s="207" t="s">
        <v>254</v>
      </c>
      <c r="E14" s="254" t="s">
        <v>484</v>
      </c>
      <c r="F14" s="207" t="s">
        <v>308</v>
      </c>
      <c r="G14" s="207">
        <v>1</v>
      </c>
      <c r="H14" s="330">
        <v>1.25</v>
      </c>
      <c r="I14" s="209">
        <v>10</v>
      </c>
      <c r="J14" s="209"/>
      <c r="K14" s="13" t="s">
        <v>234</v>
      </c>
      <c r="L14" s="13">
        <f>462.99/13.42</f>
        <v>34.5</v>
      </c>
      <c r="M14" s="13">
        <f>'PRECIOS INSUMOS 2015'!C$5</f>
        <v>2</v>
      </c>
      <c r="N14" s="18">
        <f t="shared" si="0"/>
        <v>69</v>
      </c>
      <c r="O14" s="209">
        <f t="shared" si="1"/>
        <v>0.8</v>
      </c>
      <c r="P14" s="81">
        <f t="shared" si="3"/>
        <v>64</v>
      </c>
      <c r="Q14" s="306">
        <f t="shared" si="2"/>
        <v>133</v>
      </c>
    </row>
    <row r="15" spans="1:17" x14ac:dyDescent="0.2">
      <c r="A15" s="328" t="s">
        <v>447</v>
      </c>
      <c r="B15" s="212" t="s">
        <v>261</v>
      </c>
      <c r="C15" s="207">
        <v>-15</v>
      </c>
      <c r="D15" s="207" t="s">
        <v>483</v>
      </c>
      <c r="E15" s="254" t="s">
        <v>255</v>
      </c>
      <c r="F15" s="207" t="s">
        <v>308</v>
      </c>
      <c r="G15" s="207">
        <v>1</v>
      </c>
      <c r="H15" s="330">
        <v>1.25</v>
      </c>
      <c r="I15" s="209">
        <v>10</v>
      </c>
      <c r="J15" s="209"/>
      <c r="K15" s="13" t="s">
        <v>234</v>
      </c>
      <c r="L15" s="13">
        <v>32.4</v>
      </c>
      <c r="M15" s="13">
        <f>'PRECIOS INSUMOS 2015'!C$5</f>
        <v>2</v>
      </c>
      <c r="N15" s="18">
        <f t="shared" si="0"/>
        <v>64.8</v>
      </c>
      <c r="O15" s="209">
        <f t="shared" si="1"/>
        <v>0.8</v>
      </c>
      <c r="P15" s="81">
        <f t="shared" si="3"/>
        <v>64</v>
      </c>
      <c r="Q15" s="306">
        <f t="shared" si="2"/>
        <v>128.80000000000001</v>
      </c>
    </row>
    <row r="16" spans="1:17" x14ac:dyDescent="0.2">
      <c r="A16" s="328" t="s">
        <v>448</v>
      </c>
      <c r="B16" s="212" t="s">
        <v>256</v>
      </c>
      <c r="C16" s="207">
        <v>-7</v>
      </c>
      <c r="D16" s="207" t="s">
        <v>257</v>
      </c>
      <c r="E16" s="254" t="s">
        <v>329</v>
      </c>
      <c r="F16" s="207" t="s">
        <v>308</v>
      </c>
      <c r="G16" s="207">
        <v>1</v>
      </c>
      <c r="H16" s="330">
        <v>4</v>
      </c>
      <c r="I16" s="209">
        <v>10</v>
      </c>
      <c r="J16" s="209"/>
      <c r="K16" s="13" t="s">
        <v>234</v>
      </c>
      <c r="L16" s="13">
        <v>3.12</v>
      </c>
      <c r="M16" s="13">
        <f>'PRECIOS INSUMOS 2015'!C$5</f>
        <v>2</v>
      </c>
      <c r="N16" s="18">
        <f t="shared" si="0"/>
        <v>6.24</v>
      </c>
      <c r="O16" s="209">
        <f t="shared" si="1"/>
        <v>0.25</v>
      </c>
      <c r="P16" s="81">
        <f t="shared" si="3"/>
        <v>20</v>
      </c>
      <c r="Q16" s="306">
        <f t="shared" si="2"/>
        <v>26.240000000000002</v>
      </c>
    </row>
    <row r="17" spans="1:17" x14ac:dyDescent="0.2">
      <c r="A17" s="328" t="s">
        <v>449</v>
      </c>
      <c r="B17" s="212" t="s">
        <v>485</v>
      </c>
      <c r="C17" s="207">
        <v>-5</v>
      </c>
      <c r="D17" s="207" t="s">
        <v>483</v>
      </c>
      <c r="E17" s="254" t="s">
        <v>262</v>
      </c>
      <c r="F17" s="207" t="s">
        <v>308</v>
      </c>
      <c r="G17" s="207">
        <v>1</v>
      </c>
      <c r="H17" s="330">
        <v>4</v>
      </c>
      <c r="I17" s="209">
        <v>10</v>
      </c>
      <c r="J17" s="209"/>
      <c r="K17" s="13" t="s">
        <v>234</v>
      </c>
      <c r="L17" s="13">
        <v>10.199999999999999</v>
      </c>
      <c r="M17" s="13">
        <f>'PRECIOS INSUMOS 2015'!C$5</f>
        <v>2</v>
      </c>
      <c r="N17" s="18">
        <f t="shared" si="0"/>
        <v>20.399999999999999</v>
      </c>
      <c r="O17" s="209">
        <f t="shared" si="1"/>
        <v>0.25</v>
      </c>
      <c r="P17" s="81">
        <f t="shared" si="3"/>
        <v>20</v>
      </c>
      <c r="Q17" s="306">
        <f t="shared" si="2"/>
        <v>40.4</v>
      </c>
    </row>
    <row r="18" spans="1:17" x14ac:dyDescent="0.2">
      <c r="A18" s="328" t="s">
        <v>337</v>
      </c>
      <c r="B18" s="212" t="s">
        <v>486</v>
      </c>
      <c r="C18" s="207">
        <v>-4</v>
      </c>
      <c r="D18" s="304" t="s">
        <v>257</v>
      </c>
      <c r="E18" s="237" t="s">
        <v>305</v>
      </c>
      <c r="F18" s="208" t="s">
        <v>437</v>
      </c>
      <c r="G18" s="208">
        <v>15</v>
      </c>
      <c r="H18" s="330">
        <v>32</v>
      </c>
      <c r="I18" s="209">
        <v>10</v>
      </c>
      <c r="J18" s="209"/>
      <c r="K18" s="13" t="s">
        <v>234</v>
      </c>
      <c r="L18" s="13">
        <f>H18*0.86</f>
        <v>27.52</v>
      </c>
      <c r="M18" s="13">
        <f>'PRECIOS INSUMOS 2015'!C$5</f>
        <v>2</v>
      </c>
      <c r="N18" s="18">
        <f t="shared" si="0"/>
        <v>55.04</v>
      </c>
      <c r="O18" s="209">
        <f t="shared" si="1"/>
        <v>0.46875</v>
      </c>
      <c r="P18" s="81">
        <f t="shared" si="3"/>
        <v>37.5</v>
      </c>
      <c r="Q18" s="306">
        <f t="shared" si="2"/>
        <v>92.539999999999992</v>
      </c>
    </row>
    <row r="19" spans="1:17" x14ac:dyDescent="0.2">
      <c r="A19" s="328" t="s">
        <v>339</v>
      </c>
      <c r="B19" s="212" t="s">
        <v>487</v>
      </c>
      <c r="C19" s="207">
        <v>-3</v>
      </c>
      <c r="D19" s="304" t="s">
        <v>257</v>
      </c>
      <c r="E19" s="237" t="s">
        <v>305</v>
      </c>
      <c r="F19" s="208" t="s">
        <v>437</v>
      </c>
      <c r="G19" s="208">
        <v>15</v>
      </c>
      <c r="H19" s="330">
        <v>20</v>
      </c>
      <c r="I19" s="209">
        <v>10</v>
      </c>
      <c r="J19" s="209"/>
      <c r="K19" s="13" t="s">
        <v>234</v>
      </c>
      <c r="L19" s="13">
        <f>102.8/13.42</f>
        <v>7.6602086438152011</v>
      </c>
      <c r="M19" s="13">
        <f>'PRECIOS INSUMOS 2015'!C$5</f>
        <v>2</v>
      </c>
      <c r="N19" s="18">
        <f t="shared" si="0"/>
        <v>15.320417287630402</v>
      </c>
      <c r="O19" s="209">
        <f t="shared" si="1"/>
        <v>0.75</v>
      </c>
      <c r="P19" s="81">
        <f t="shared" si="3"/>
        <v>60</v>
      </c>
      <c r="Q19" s="306">
        <f t="shared" si="2"/>
        <v>75.320417287630406</v>
      </c>
    </row>
    <row r="20" spans="1:17" x14ac:dyDescent="0.2">
      <c r="A20" s="328" t="s">
        <v>341</v>
      </c>
      <c r="B20" s="212" t="s">
        <v>596</v>
      </c>
      <c r="C20" s="230">
        <v>-2</v>
      </c>
      <c r="D20" s="304" t="s">
        <v>257</v>
      </c>
      <c r="E20" s="206" t="s">
        <v>476</v>
      </c>
      <c r="F20" s="331" t="s">
        <v>308</v>
      </c>
      <c r="G20" s="230">
        <v>1</v>
      </c>
      <c r="H20" s="330">
        <v>1.7</v>
      </c>
      <c r="I20" s="209">
        <v>10</v>
      </c>
      <c r="J20" s="209"/>
      <c r="K20" s="13" t="s">
        <v>234</v>
      </c>
      <c r="L20" s="13">
        <f>0.86*2</f>
        <v>1.72</v>
      </c>
      <c r="M20" s="13">
        <f>'PRECIOS INSUMOS 2015'!C$5</f>
        <v>2</v>
      </c>
      <c r="N20" s="209">
        <f t="shared" si="0"/>
        <v>3.44</v>
      </c>
      <c r="O20" s="209">
        <f t="shared" si="1"/>
        <v>0.58823529411764708</v>
      </c>
      <c r="P20" s="81">
        <f t="shared" si="3"/>
        <v>47.058823529411768</v>
      </c>
      <c r="Q20" s="306">
        <f t="shared" si="2"/>
        <v>50.498823529411766</v>
      </c>
    </row>
    <row r="21" spans="1:17" x14ac:dyDescent="0.2">
      <c r="A21" s="328" t="s">
        <v>343</v>
      </c>
      <c r="B21" s="95" t="s">
        <v>344</v>
      </c>
      <c r="C21" s="1">
        <v>-2</v>
      </c>
      <c r="D21" s="1" t="s">
        <v>257</v>
      </c>
      <c r="E21" s="36" t="s">
        <v>476</v>
      </c>
      <c r="F21" s="1" t="s">
        <v>308</v>
      </c>
      <c r="G21" s="1">
        <v>1</v>
      </c>
      <c r="H21" s="224"/>
      <c r="I21" s="18"/>
      <c r="J21" s="68"/>
      <c r="K21" s="13" t="s">
        <v>1367</v>
      </c>
      <c r="L21" s="13">
        <v>0.35</v>
      </c>
      <c r="M21" s="13">
        <v>18</v>
      </c>
      <c r="N21" s="18">
        <f t="shared" si="0"/>
        <v>6.3</v>
      </c>
      <c r="O21" s="18"/>
      <c r="P21" s="81"/>
      <c r="Q21" s="18">
        <f t="shared" si="2"/>
        <v>6.3</v>
      </c>
    </row>
    <row r="22" spans="1:17" x14ac:dyDescent="0.2">
      <c r="A22" s="328" t="s">
        <v>345</v>
      </c>
      <c r="B22" s="212" t="s">
        <v>346</v>
      </c>
      <c r="C22" s="230">
        <v>0</v>
      </c>
      <c r="D22" s="304" t="s">
        <v>257</v>
      </c>
      <c r="E22" s="332" t="s">
        <v>305</v>
      </c>
      <c r="F22" s="230" t="s">
        <v>509</v>
      </c>
      <c r="G22" s="331">
        <v>3.3330000000000002</v>
      </c>
      <c r="H22" s="191">
        <v>4</v>
      </c>
      <c r="I22" s="209">
        <v>10</v>
      </c>
      <c r="J22" s="209"/>
      <c r="K22" s="13" t="s">
        <v>234</v>
      </c>
      <c r="L22" s="13">
        <f>H22*0.86</f>
        <v>3.44</v>
      </c>
      <c r="M22" s="13">
        <f>'PRECIOS INSUMOS 2015'!C$5</f>
        <v>2</v>
      </c>
      <c r="N22" s="18">
        <f t="shared" si="0"/>
        <v>6.88</v>
      </c>
      <c r="O22" s="209">
        <f>G22/H22</f>
        <v>0.83325000000000005</v>
      </c>
      <c r="P22" s="81">
        <f>O22*(I22+J22)*8</f>
        <v>66.66</v>
      </c>
      <c r="Q22" s="306">
        <f t="shared" si="2"/>
        <v>73.539999999999992</v>
      </c>
    </row>
    <row r="23" spans="1:17" x14ac:dyDescent="0.2">
      <c r="A23" s="328" t="s">
        <v>347</v>
      </c>
      <c r="B23" s="333" t="s">
        <v>488</v>
      </c>
      <c r="C23" s="230">
        <v>0</v>
      </c>
      <c r="D23" s="334" t="s">
        <v>266</v>
      </c>
      <c r="E23" s="229" t="s">
        <v>271</v>
      </c>
      <c r="F23" s="230" t="s">
        <v>308</v>
      </c>
      <c r="G23" s="230">
        <v>1</v>
      </c>
      <c r="H23" s="330">
        <v>0.3</v>
      </c>
      <c r="I23" s="209"/>
      <c r="J23" s="209">
        <v>10</v>
      </c>
      <c r="K23" s="13"/>
      <c r="L23" s="13"/>
      <c r="M23" s="13"/>
      <c r="N23" s="18">
        <f t="shared" si="0"/>
        <v>0</v>
      </c>
      <c r="O23" s="209">
        <f>G23/H23</f>
        <v>3.3333333333333335</v>
      </c>
      <c r="P23" s="81">
        <f>O23*(I23+J23)*8</f>
        <v>266.66666666666669</v>
      </c>
      <c r="Q23" s="306">
        <f t="shared" si="2"/>
        <v>266.66666666666669</v>
      </c>
    </row>
    <row r="24" spans="1:17" x14ac:dyDescent="0.2">
      <c r="A24" s="328" t="s">
        <v>350</v>
      </c>
      <c r="B24" s="240" t="s">
        <v>597</v>
      </c>
      <c r="C24" s="230">
        <v>1</v>
      </c>
      <c r="D24" s="304" t="s">
        <v>257</v>
      </c>
      <c r="E24" s="206" t="s">
        <v>476</v>
      </c>
      <c r="F24" s="230" t="s">
        <v>308</v>
      </c>
      <c r="G24" s="230">
        <v>1</v>
      </c>
      <c r="H24" s="330">
        <v>1.7</v>
      </c>
      <c r="I24" s="209">
        <v>10</v>
      </c>
      <c r="J24" s="209"/>
      <c r="K24" s="13" t="s">
        <v>234</v>
      </c>
      <c r="L24" s="13">
        <f>0.86*2</f>
        <v>1.72</v>
      </c>
      <c r="M24" s="13">
        <f>'PRECIOS INSUMOS 2015'!C$5</f>
        <v>2</v>
      </c>
      <c r="N24" s="18">
        <f t="shared" si="0"/>
        <v>3.44</v>
      </c>
      <c r="O24" s="209">
        <f>G24/H24</f>
        <v>0.58823529411764708</v>
      </c>
      <c r="P24" s="81">
        <f>O24*(I24+J24)*8</f>
        <v>47.058823529411768</v>
      </c>
      <c r="Q24" s="306">
        <f t="shared" si="2"/>
        <v>50.498823529411766</v>
      </c>
    </row>
    <row r="25" spans="1:17" x14ac:dyDescent="0.2">
      <c r="A25" s="328" t="s">
        <v>352</v>
      </c>
      <c r="B25" s="335" t="s">
        <v>489</v>
      </c>
      <c r="C25" s="1">
        <v>1</v>
      </c>
      <c r="D25" s="1" t="s">
        <v>257</v>
      </c>
      <c r="E25" s="36" t="s">
        <v>476</v>
      </c>
      <c r="F25" s="1" t="s">
        <v>308</v>
      </c>
      <c r="G25" s="1">
        <v>1</v>
      </c>
      <c r="H25" s="224"/>
      <c r="I25" s="18"/>
      <c r="J25" s="68"/>
      <c r="K25" s="13" t="s">
        <v>1367</v>
      </c>
      <c r="L25" s="13">
        <v>0.35</v>
      </c>
      <c r="M25" s="13">
        <v>18</v>
      </c>
      <c r="N25" s="18">
        <f t="shared" si="0"/>
        <v>6.3</v>
      </c>
      <c r="O25" s="18"/>
      <c r="P25" s="81"/>
      <c r="Q25" s="57">
        <f t="shared" si="2"/>
        <v>6.3</v>
      </c>
    </row>
    <row r="26" spans="1:17" x14ac:dyDescent="0.2">
      <c r="A26" s="328" t="s">
        <v>354</v>
      </c>
      <c r="B26" s="212" t="s">
        <v>490</v>
      </c>
      <c r="C26" s="207">
        <v>3</v>
      </c>
      <c r="D26" s="304" t="s">
        <v>257</v>
      </c>
      <c r="E26" s="207" t="s">
        <v>303</v>
      </c>
      <c r="F26" s="207" t="s">
        <v>308</v>
      </c>
      <c r="G26" s="207">
        <v>1</v>
      </c>
      <c r="H26" s="329">
        <v>8</v>
      </c>
      <c r="I26" s="209">
        <v>10</v>
      </c>
      <c r="J26" s="241"/>
      <c r="K26" s="13" t="s">
        <v>234</v>
      </c>
      <c r="L26" s="13">
        <f>46.03/13.42</f>
        <v>3.4299552906110282</v>
      </c>
      <c r="M26" s="13">
        <f>'PRECIOS INSUMOS 2015'!C$5</f>
        <v>2</v>
      </c>
      <c r="N26" s="18">
        <f t="shared" si="0"/>
        <v>6.8599105812220564</v>
      </c>
      <c r="O26" s="209">
        <f>G26/H26</f>
        <v>0.125</v>
      </c>
      <c r="P26" s="81">
        <f>O26*(I26+J26)*8</f>
        <v>10</v>
      </c>
      <c r="Q26" s="306">
        <f t="shared" si="2"/>
        <v>16.859910581222056</v>
      </c>
    </row>
    <row r="27" spans="1:17" x14ac:dyDescent="0.2">
      <c r="A27" s="328" t="s">
        <v>355</v>
      </c>
      <c r="B27" s="212" t="s">
        <v>490</v>
      </c>
      <c r="C27" s="207">
        <v>3</v>
      </c>
      <c r="D27" s="304"/>
      <c r="E27" s="207"/>
      <c r="F27" s="207"/>
      <c r="G27" s="207"/>
      <c r="H27" s="336"/>
      <c r="I27" s="209"/>
      <c r="J27" s="241"/>
      <c r="K27" s="13" t="s">
        <v>512</v>
      </c>
      <c r="L27" s="13">
        <v>2.5</v>
      </c>
      <c r="M27" s="13">
        <v>6.38</v>
      </c>
      <c r="N27" s="18">
        <f t="shared" si="0"/>
        <v>15.95</v>
      </c>
      <c r="O27" s="209"/>
      <c r="P27" s="81"/>
      <c r="Q27" s="306">
        <f t="shared" si="2"/>
        <v>15.95</v>
      </c>
    </row>
    <row r="28" spans="1:17" x14ac:dyDescent="0.2">
      <c r="A28" s="328" t="s">
        <v>356</v>
      </c>
      <c r="B28" s="212" t="s">
        <v>598</v>
      </c>
      <c r="C28" s="207">
        <v>8</v>
      </c>
      <c r="D28" s="207" t="s">
        <v>257</v>
      </c>
      <c r="E28" s="206" t="s">
        <v>476</v>
      </c>
      <c r="F28" s="207" t="s">
        <v>308</v>
      </c>
      <c r="G28" s="207">
        <v>1</v>
      </c>
      <c r="H28" s="330">
        <v>1.7</v>
      </c>
      <c r="I28" s="209">
        <v>10</v>
      </c>
      <c r="J28" s="241"/>
      <c r="K28" s="13" t="s">
        <v>234</v>
      </c>
      <c r="L28" s="13">
        <f>0.86*2</f>
        <v>1.72</v>
      </c>
      <c r="M28" s="13">
        <f>'PRECIOS INSUMOS 2015'!C$5</f>
        <v>2</v>
      </c>
      <c r="N28" s="18">
        <f t="shared" si="0"/>
        <v>3.44</v>
      </c>
      <c r="O28" s="209">
        <f>G28/H28</f>
        <v>0.58823529411764708</v>
      </c>
      <c r="P28" s="81">
        <f>O28*(I28+J28)*8</f>
        <v>47.058823529411768</v>
      </c>
      <c r="Q28" s="306">
        <f t="shared" si="2"/>
        <v>50.498823529411766</v>
      </c>
    </row>
    <row r="29" spans="1:17" x14ac:dyDescent="0.2">
      <c r="A29" s="328" t="s">
        <v>357</v>
      </c>
      <c r="B29" s="95" t="s">
        <v>263</v>
      </c>
      <c r="C29" s="1">
        <v>8</v>
      </c>
      <c r="D29" s="1" t="s">
        <v>257</v>
      </c>
      <c r="E29" s="36" t="s">
        <v>476</v>
      </c>
      <c r="F29" s="1" t="s">
        <v>308</v>
      </c>
      <c r="G29" s="1">
        <v>1</v>
      </c>
      <c r="H29" s="224"/>
      <c r="I29" s="18"/>
      <c r="J29" s="68"/>
      <c r="K29" s="13" t="s">
        <v>1367</v>
      </c>
      <c r="L29" s="13">
        <v>0.35</v>
      </c>
      <c r="M29" s="13">
        <v>18</v>
      </c>
      <c r="N29" s="18">
        <f t="shared" si="0"/>
        <v>6.3</v>
      </c>
      <c r="O29" s="18"/>
      <c r="P29" s="81"/>
      <c r="Q29" s="57">
        <f t="shared" si="2"/>
        <v>6.3</v>
      </c>
    </row>
    <row r="30" spans="1:17" x14ac:dyDescent="0.2">
      <c r="A30" s="328" t="s">
        <v>358</v>
      </c>
      <c r="B30" s="212" t="s">
        <v>598</v>
      </c>
      <c r="C30" s="207">
        <v>15</v>
      </c>
      <c r="D30" s="207" t="s">
        <v>257</v>
      </c>
      <c r="E30" s="206" t="s">
        <v>476</v>
      </c>
      <c r="F30" s="207" t="s">
        <v>308</v>
      </c>
      <c r="G30" s="207">
        <v>1</v>
      </c>
      <c r="H30" s="330">
        <v>1.7</v>
      </c>
      <c r="I30" s="209">
        <v>10</v>
      </c>
      <c r="J30" s="209"/>
      <c r="K30" s="13" t="s">
        <v>234</v>
      </c>
      <c r="L30" s="13">
        <f>0.86*2</f>
        <v>1.72</v>
      </c>
      <c r="M30" s="13">
        <f>'PRECIOS INSUMOS 2015'!C$5</f>
        <v>2</v>
      </c>
      <c r="N30" s="18">
        <f t="shared" si="0"/>
        <v>3.44</v>
      </c>
      <c r="O30" s="209">
        <f>G30/H30</f>
        <v>0.58823529411764708</v>
      </c>
      <c r="P30" s="81">
        <f>O30*(I30+J30)*8</f>
        <v>47.058823529411768</v>
      </c>
      <c r="Q30" s="306">
        <f t="shared" si="2"/>
        <v>50.498823529411766</v>
      </c>
    </row>
    <row r="31" spans="1:17" x14ac:dyDescent="0.2">
      <c r="A31" s="328" t="s">
        <v>359</v>
      </c>
      <c r="B31" s="95" t="s">
        <v>263</v>
      </c>
      <c r="C31" s="1">
        <v>15</v>
      </c>
      <c r="D31" s="1" t="s">
        <v>257</v>
      </c>
      <c r="E31" s="36" t="s">
        <v>476</v>
      </c>
      <c r="F31" s="1" t="s">
        <v>308</v>
      </c>
      <c r="G31" s="1">
        <v>1</v>
      </c>
      <c r="H31" s="224"/>
      <c r="I31" s="18"/>
      <c r="J31" s="68"/>
      <c r="K31" s="13" t="s">
        <v>1367</v>
      </c>
      <c r="L31" s="13">
        <v>0.35</v>
      </c>
      <c r="M31" s="13">
        <v>18</v>
      </c>
      <c r="N31" s="18">
        <f t="shared" si="0"/>
        <v>6.3</v>
      </c>
      <c r="O31" s="18"/>
      <c r="P31" s="81"/>
      <c r="Q31" s="57">
        <f t="shared" si="2"/>
        <v>6.3</v>
      </c>
    </row>
    <row r="32" spans="1:17" x14ac:dyDescent="0.2">
      <c r="A32" s="328" t="s">
        <v>361</v>
      </c>
      <c r="B32" s="212" t="s">
        <v>304</v>
      </c>
      <c r="C32" s="207">
        <v>17</v>
      </c>
      <c r="D32" s="207" t="s">
        <v>266</v>
      </c>
      <c r="E32" s="207" t="s">
        <v>271</v>
      </c>
      <c r="F32" s="207" t="s">
        <v>308</v>
      </c>
      <c r="G32" s="207">
        <v>1</v>
      </c>
      <c r="H32" s="330">
        <v>0.62</v>
      </c>
      <c r="I32" s="209"/>
      <c r="J32" s="209">
        <v>10</v>
      </c>
      <c r="K32" s="13"/>
      <c r="L32" s="13"/>
      <c r="M32" s="13"/>
      <c r="N32" s="18">
        <f t="shared" si="0"/>
        <v>0</v>
      </c>
      <c r="O32" s="209">
        <f>G32/H32</f>
        <v>1.6129032258064517</v>
      </c>
      <c r="P32" s="81">
        <f>O32*(I32+J32)*8</f>
        <v>129.03225806451613</v>
      </c>
      <c r="Q32" s="306">
        <f t="shared" si="2"/>
        <v>129.03225806451613</v>
      </c>
    </row>
    <row r="33" spans="1:17" x14ac:dyDescent="0.2">
      <c r="A33" s="328" t="s">
        <v>362</v>
      </c>
      <c r="B33" s="212" t="s">
        <v>598</v>
      </c>
      <c r="C33" s="207">
        <v>22</v>
      </c>
      <c r="D33" s="207" t="s">
        <v>257</v>
      </c>
      <c r="E33" s="206" t="s">
        <v>476</v>
      </c>
      <c r="F33" s="207" t="s">
        <v>308</v>
      </c>
      <c r="G33" s="207">
        <v>1</v>
      </c>
      <c r="H33" s="330">
        <v>1.7</v>
      </c>
      <c r="I33" s="209">
        <v>10</v>
      </c>
      <c r="J33" s="209"/>
      <c r="K33" s="13" t="s">
        <v>234</v>
      </c>
      <c r="L33" s="13">
        <f>0.86*2</f>
        <v>1.72</v>
      </c>
      <c r="M33" s="13">
        <f>'PRECIOS INSUMOS 2015'!C$5</f>
        <v>2</v>
      </c>
      <c r="N33" s="18">
        <f t="shared" si="0"/>
        <v>3.44</v>
      </c>
      <c r="O33" s="209">
        <f>G33/H33</f>
        <v>0.58823529411764708</v>
      </c>
      <c r="P33" s="81">
        <f>O33*(I33+J33)*8</f>
        <v>47.058823529411768</v>
      </c>
      <c r="Q33" s="306">
        <f t="shared" si="2"/>
        <v>50.498823529411766</v>
      </c>
    </row>
    <row r="34" spans="1:17" x14ac:dyDescent="0.2">
      <c r="A34" s="328" t="s">
        <v>364</v>
      </c>
      <c r="B34" s="95" t="s">
        <v>263</v>
      </c>
      <c r="C34" s="1">
        <v>22</v>
      </c>
      <c r="D34" s="1" t="s">
        <v>257</v>
      </c>
      <c r="E34" s="36" t="s">
        <v>476</v>
      </c>
      <c r="F34" s="1" t="s">
        <v>308</v>
      </c>
      <c r="G34" s="1">
        <v>1</v>
      </c>
      <c r="H34" s="224"/>
      <c r="I34" s="18"/>
      <c r="J34" s="68"/>
      <c r="K34" s="13" t="s">
        <v>1367</v>
      </c>
      <c r="L34" s="13">
        <v>0.35</v>
      </c>
      <c r="M34" s="13">
        <v>18</v>
      </c>
      <c r="N34" s="18">
        <f t="shared" si="0"/>
        <v>6.3</v>
      </c>
      <c r="O34" s="18"/>
      <c r="P34" s="81"/>
      <c r="Q34" s="57">
        <f t="shared" si="2"/>
        <v>6.3</v>
      </c>
    </row>
    <row r="35" spans="1:17" x14ac:dyDescent="0.2">
      <c r="A35" s="328" t="s">
        <v>366</v>
      </c>
      <c r="B35" s="212" t="s">
        <v>598</v>
      </c>
      <c r="C35" s="207">
        <v>29</v>
      </c>
      <c r="D35" s="207" t="s">
        <v>257</v>
      </c>
      <c r="E35" s="206" t="s">
        <v>476</v>
      </c>
      <c r="F35" s="207" t="s">
        <v>308</v>
      </c>
      <c r="G35" s="207">
        <v>1</v>
      </c>
      <c r="H35" s="330">
        <v>1.7</v>
      </c>
      <c r="I35" s="209">
        <v>10</v>
      </c>
      <c r="J35" s="241"/>
      <c r="K35" s="13" t="s">
        <v>234</v>
      </c>
      <c r="L35" s="13">
        <f>0.86*2</f>
        <v>1.72</v>
      </c>
      <c r="M35" s="13">
        <f>'PRECIOS INSUMOS 2015'!C$5</f>
        <v>2</v>
      </c>
      <c r="N35" s="18">
        <f t="shared" si="0"/>
        <v>3.44</v>
      </c>
      <c r="O35" s="209">
        <f>G35/H35</f>
        <v>0.58823529411764708</v>
      </c>
      <c r="P35" s="81">
        <f>O35*(I35+J35)*8</f>
        <v>47.058823529411768</v>
      </c>
      <c r="Q35" s="306">
        <f t="shared" si="2"/>
        <v>50.498823529411766</v>
      </c>
    </row>
    <row r="36" spans="1:17" x14ac:dyDescent="0.2">
      <c r="A36" s="328" t="s">
        <v>368</v>
      </c>
      <c r="B36" s="95" t="s">
        <v>263</v>
      </c>
      <c r="C36" s="1">
        <v>29</v>
      </c>
      <c r="D36" s="1" t="s">
        <v>257</v>
      </c>
      <c r="E36" s="36" t="s">
        <v>476</v>
      </c>
      <c r="F36" s="1" t="s">
        <v>308</v>
      </c>
      <c r="G36" s="1">
        <v>1</v>
      </c>
      <c r="H36" s="224"/>
      <c r="I36" s="18"/>
      <c r="J36" s="68"/>
      <c r="K36" s="13" t="s">
        <v>1367</v>
      </c>
      <c r="L36" s="13">
        <v>0.35</v>
      </c>
      <c r="M36" s="13">
        <v>18</v>
      </c>
      <c r="N36" s="18">
        <f t="shared" si="0"/>
        <v>6.3</v>
      </c>
      <c r="O36" s="18"/>
      <c r="P36" s="81"/>
      <c r="Q36" s="57">
        <f t="shared" si="2"/>
        <v>6.3</v>
      </c>
    </row>
    <row r="37" spans="1:17" x14ac:dyDescent="0.2">
      <c r="A37" s="328" t="s">
        <v>369</v>
      </c>
      <c r="B37" s="212" t="s">
        <v>269</v>
      </c>
      <c r="C37" s="207">
        <v>32</v>
      </c>
      <c r="D37" s="207" t="s">
        <v>257</v>
      </c>
      <c r="E37" s="254" t="s">
        <v>360</v>
      </c>
      <c r="F37" s="207" t="s">
        <v>308</v>
      </c>
      <c r="G37" s="207">
        <v>1</v>
      </c>
      <c r="H37" s="330">
        <v>4</v>
      </c>
      <c r="I37" s="209">
        <v>10</v>
      </c>
      <c r="J37" s="209"/>
      <c r="K37" s="13" t="s">
        <v>234</v>
      </c>
      <c r="L37" s="13">
        <v>7.2</v>
      </c>
      <c r="M37" s="13">
        <f>'PRECIOS INSUMOS 2015'!C$5</f>
        <v>2</v>
      </c>
      <c r="N37" s="18">
        <f t="shared" si="0"/>
        <v>14.4</v>
      </c>
      <c r="O37" s="209">
        <f>G37/H37</f>
        <v>0.25</v>
      </c>
      <c r="P37" s="81">
        <f>O37*(I37+J37)*8</f>
        <v>20</v>
      </c>
      <c r="Q37" s="306">
        <f t="shared" si="2"/>
        <v>34.4</v>
      </c>
    </row>
    <row r="38" spans="1:17" x14ac:dyDescent="0.2">
      <c r="A38" s="328" t="s">
        <v>370</v>
      </c>
      <c r="B38" s="212" t="s">
        <v>270</v>
      </c>
      <c r="C38" s="207">
        <v>34</v>
      </c>
      <c r="D38" s="207" t="s">
        <v>266</v>
      </c>
      <c r="E38" s="207" t="s">
        <v>271</v>
      </c>
      <c r="F38" s="207" t="s">
        <v>308</v>
      </c>
      <c r="G38" s="207">
        <v>1</v>
      </c>
      <c r="H38" s="330">
        <v>0.08</v>
      </c>
      <c r="I38" s="209"/>
      <c r="J38" s="209">
        <v>10</v>
      </c>
      <c r="K38" s="13"/>
      <c r="L38" s="13"/>
      <c r="M38" s="13"/>
      <c r="N38" s="18">
        <f t="shared" si="0"/>
        <v>0</v>
      </c>
      <c r="O38" s="209">
        <f>G38/H38</f>
        <v>12.5</v>
      </c>
      <c r="P38" s="81">
        <f>O38*(I38+J38)*8</f>
        <v>1000</v>
      </c>
      <c r="Q38" s="306">
        <f t="shared" si="2"/>
        <v>1000</v>
      </c>
    </row>
    <row r="39" spans="1:17" x14ac:dyDescent="0.2">
      <c r="A39" s="328" t="s">
        <v>371</v>
      </c>
      <c r="B39" s="212" t="s">
        <v>598</v>
      </c>
      <c r="C39" s="207">
        <v>36</v>
      </c>
      <c r="D39" s="207" t="s">
        <v>257</v>
      </c>
      <c r="E39" s="254" t="s">
        <v>476</v>
      </c>
      <c r="F39" s="207" t="s">
        <v>308</v>
      </c>
      <c r="G39" s="207">
        <v>1</v>
      </c>
      <c r="H39" s="330">
        <v>1.7</v>
      </c>
      <c r="I39" s="209">
        <v>10</v>
      </c>
      <c r="J39" s="241"/>
      <c r="K39" s="13" t="s">
        <v>234</v>
      </c>
      <c r="L39" s="13">
        <f>0.86*2</f>
        <v>1.72</v>
      </c>
      <c r="M39" s="13">
        <f>'PRECIOS INSUMOS 2015'!C$5</f>
        <v>2</v>
      </c>
      <c r="N39" s="18">
        <f t="shared" si="0"/>
        <v>3.44</v>
      </c>
      <c r="O39" s="209">
        <f>G39/H39</f>
        <v>0.58823529411764708</v>
      </c>
      <c r="P39" s="81">
        <f>O39*(I39+J39)*8</f>
        <v>47.058823529411768</v>
      </c>
      <c r="Q39" s="306">
        <f t="shared" si="2"/>
        <v>50.498823529411766</v>
      </c>
    </row>
    <row r="40" spans="1:17" x14ac:dyDescent="0.2">
      <c r="A40" s="328" t="s">
        <v>372</v>
      </c>
      <c r="B40" s="95" t="s">
        <v>263</v>
      </c>
      <c r="C40" s="1">
        <v>36</v>
      </c>
      <c r="D40" s="1" t="s">
        <v>257</v>
      </c>
      <c r="E40" s="12" t="s">
        <v>476</v>
      </c>
      <c r="F40" s="1" t="s">
        <v>308</v>
      </c>
      <c r="G40" s="1">
        <v>1</v>
      </c>
      <c r="H40" s="224"/>
      <c r="I40" s="18"/>
      <c r="J40" s="68"/>
      <c r="K40" s="13" t="s">
        <v>1367</v>
      </c>
      <c r="L40" s="13">
        <v>0.35</v>
      </c>
      <c r="M40" s="13">
        <v>18</v>
      </c>
      <c r="N40" s="18">
        <f t="shared" si="0"/>
        <v>6.3</v>
      </c>
      <c r="O40" s="18"/>
      <c r="P40" s="81"/>
      <c r="Q40" s="57">
        <f t="shared" si="2"/>
        <v>6.3</v>
      </c>
    </row>
    <row r="41" spans="1:17" x14ac:dyDescent="0.2">
      <c r="A41" s="328" t="s">
        <v>373</v>
      </c>
      <c r="B41" s="212" t="s">
        <v>598</v>
      </c>
      <c r="C41" s="207">
        <v>42</v>
      </c>
      <c r="D41" s="207" t="s">
        <v>257</v>
      </c>
      <c r="E41" s="254" t="s">
        <v>476</v>
      </c>
      <c r="F41" s="207" t="s">
        <v>308</v>
      </c>
      <c r="G41" s="207">
        <v>1</v>
      </c>
      <c r="H41" s="330">
        <v>1.7</v>
      </c>
      <c r="I41" s="209">
        <v>10</v>
      </c>
      <c r="J41" s="209"/>
      <c r="K41" s="13" t="s">
        <v>234</v>
      </c>
      <c r="L41" s="13">
        <f>0.86*2</f>
        <v>1.72</v>
      </c>
      <c r="M41" s="13">
        <f>'PRECIOS INSUMOS 2015'!C$5</f>
        <v>2</v>
      </c>
      <c r="N41" s="18">
        <f t="shared" si="0"/>
        <v>3.44</v>
      </c>
      <c r="O41" s="209">
        <f>G41/H41</f>
        <v>0.58823529411764708</v>
      </c>
      <c r="P41" s="81">
        <f>O41*(I41+J41)*8</f>
        <v>47.058823529411768</v>
      </c>
      <c r="Q41" s="306">
        <f t="shared" si="2"/>
        <v>50.498823529411766</v>
      </c>
    </row>
    <row r="42" spans="1:17" x14ac:dyDescent="0.2">
      <c r="A42" s="328" t="s">
        <v>374</v>
      </c>
      <c r="B42" s="95" t="s">
        <v>263</v>
      </c>
      <c r="C42" s="1">
        <v>42</v>
      </c>
      <c r="D42" s="1" t="s">
        <v>257</v>
      </c>
      <c r="E42" s="12" t="s">
        <v>476</v>
      </c>
      <c r="F42" s="1" t="s">
        <v>308</v>
      </c>
      <c r="G42" s="1">
        <v>1</v>
      </c>
      <c r="H42" s="224"/>
      <c r="I42" s="18"/>
      <c r="J42" s="68"/>
      <c r="K42" s="13" t="s">
        <v>1367</v>
      </c>
      <c r="L42" s="13">
        <v>0.35</v>
      </c>
      <c r="M42" s="13">
        <v>18</v>
      </c>
      <c r="N42" s="18">
        <f t="shared" si="0"/>
        <v>6.3</v>
      </c>
      <c r="O42" s="18"/>
      <c r="P42" s="81"/>
      <c r="Q42" s="57">
        <f t="shared" si="2"/>
        <v>6.3</v>
      </c>
    </row>
    <row r="43" spans="1:17" x14ac:dyDescent="0.2">
      <c r="A43" s="328" t="s">
        <v>376</v>
      </c>
      <c r="B43" s="212" t="s">
        <v>598</v>
      </c>
      <c r="C43" s="207">
        <v>49</v>
      </c>
      <c r="D43" s="207" t="s">
        <v>257</v>
      </c>
      <c r="E43" s="254" t="s">
        <v>476</v>
      </c>
      <c r="F43" s="207" t="s">
        <v>308</v>
      </c>
      <c r="G43" s="207">
        <v>1</v>
      </c>
      <c r="H43" s="330">
        <v>1.7</v>
      </c>
      <c r="I43" s="209">
        <v>10</v>
      </c>
      <c r="J43" s="209"/>
      <c r="K43" s="13" t="s">
        <v>234</v>
      </c>
      <c r="L43" s="13">
        <f>0.86*2</f>
        <v>1.72</v>
      </c>
      <c r="M43" s="13">
        <f>'PRECIOS INSUMOS 2015'!C$5</f>
        <v>2</v>
      </c>
      <c r="N43" s="18">
        <f t="shared" si="0"/>
        <v>3.44</v>
      </c>
      <c r="O43" s="209">
        <f>G43/H43</f>
        <v>0.58823529411764708</v>
      </c>
      <c r="P43" s="81">
        <f>O43*(I43+J43)*8</f>
        <v>47.058823529411768</v>
      </c>
      <c r="Q43" s="306">
        <f t="shared" si="2"/>
        <v>50.498823529411766</v>
      </c>
    </row>
    <row r="44" spans="1:17" x14ac:dyDescent="0.2">
      <c r="A44" s="328" t="s">
        <v>377</v>
      </c>
      <c r="B44" s="95" t="s">
        <v>263</v>
      </c>
      <c r="C44" s="1">
        <v>49</v>
      </c>
      <c r="D44" s="1" t="s">
        <v>257</v>
      </c>
      <c r="E44" s="12" t="s">
        <v>476</v>
      </c>
      <c r="F44" s="1" t="s">
        <v>308</v>
      </c>
      <c r="G44" s="1">
        <v>1</v>
      </c>
      <c r="H44" s="224"/>
      <c r="I44" s="18"/>
      <c r="J44" s="68"/>
      <c r="K44" s="13" t="s">
        <v>1367</v>
      </c>
      <c r="L44" s="13">
        <v>0.35</v>
      </c>
      <c r="M44" s="13">
        <v>18</v>
      </c>
      <c r="N44" s="18">
        <f t="shared" si="0"/>
        <v>6.3</v>
      </c>
      <c r="O44" s="18"/>
      <c r="P44" s="81"/>
      <c r="Q44" s="57">
        <f t="shared" si="2"/>
        <v>6.3</v>
      </c>
    </row>
    <row r="45" spans="1:17" x14ac:dyDescent="0.2">
      <c r="A45" s="328" t="s">
        <v>378</v>
      </c>
      <c r="B45" s="212" t="s">
        <v>491</v>
      </c>
      <c r="C45" s="207">
        <v>50</v>
      </c>
      <c r="D45" s="207" t="s">
        <v>266</v>
      </c>
      <c r="E45" s="207" t="s">
        <v>272</v>
      </c>
      <c r="F45" s="207" t="s">
        <v>308</v>
      </c>
      <c r="G45" s="207">
        <v>1</v>
      </c>
      <c r="H45" s="330">
        <v>0.62</v>
      </c>
      <c r="I45" s="209"/>
      <c r="J45" s="209">
        <v>10</v>
      </c>
      <c r="K45" s="13"/>
      <c r="L45" s="13"/>
      <c r="M45" s="13"/>
      <c r="N45" s="18">
        <f t="shared" si="0"/>
        <v>0</v>
      </c>
      <c r="O45" s="209">
        <f t="shared" ref="O45:O52" si="4">G45/H45</f>
        <v>1.6129032258064517</v>
      </c>
      <c r="P45" s="81">
        <f t="shared" ref="P45:P52" si="5">O45*(I45+J45)*8</f>
        <v>129.03225806451613</v>
      </c>
      <c r="Q45" s="306">
        <f t="shared" si="2"/>
        <v>129.03225806451613</v>
      </c>
    </row>
    <row r="46" spans="1:17" x14ac:dyDescent="0.2">
      <c r="A46" s="328" t="s">
        <v>379</v>
      </c>
      <c r="B46" s="212" t="s">
        <v>492</v>
      </c>
      <c r="C46" s="207">
        <v>51</v>
      </c>
      <c r="D46" s="207" t="s">
        <v>257</v>
      </c>
      <c r="E46" s="254" t="s">
        <v>305</v>
      </c>
      <c r="F46" s="207" t="s">
        <v>437</v>
      </c>
      <c r="G46" s="207">
        <v>1.75</v>
      </c>
      <c r="H46" s="330">
        <v>16</v>
      </c>
      <c r="I46" s="209">
        <v>10</v>
      </c>
      <c r="J46" s="209"/>
      <c r="K46" s="13" t="s">
        <v>234</v>
      </c>
      <c r="L46" s="13">
        <f>H46*0.86</f>
        <v>13.76</v>
      </c>
      <c r="M46" s="13">
        <f>'PRECIOS INSUMOS 2015'!C$5</f>
        <v>2</v>
      </c>
      <c r="N46" s="18">
        <f t="shared" si="0"/>
        <v>27.52</v>
      </c>
      <c r="O46" s="209">
        <f t="shared" si="4"/>
        <v>0.109375</v>
      </c>
      <c r="P46" s="81">
        <f t="shared" si="5"/>
        <v>8.75</v>
      </c>
      <c r="Q46" s="306">
        <f t="shared" si="2"/>
        <v>36.269999999999996</v>
      </c>
    </row>
    <row r="47" spans="1:17" x14ac:dyDescent="0.2">
      <c r="A47" s="328" t="s">
        <v>380</v>
      </c>
      <c r="B47" s="212" t="s">
        <v>492</v>
      </c>
      <c r="C47" s="207">
        <v>51</v>
      </c>
      <c r="D47" s="207" t="s">
        <v>257</v>
      </c>
      <c r="E47" s="254" t="s">
        <v>305</v>
      </c>
      <c r="F47" s="207" t="s">
        <v>437</v>
      </c>
      <c r="G47" s="207">
        <v>1.75</v>
      </c>
      <c r="H47" s="330">
        <v>16</v>
      </c>
      <c r="I47" s="209">
        <v>10</v>
      </c>
      <c r="J47" s="209"/>
      <c r="K47" s="13" t="s">
        <v>234</v>
      </c>
      <c r="L47" s="13">
        <f>H47*0.86</f>
        <v>13.76</v>
      </c>
      <c r="M47" s="13">
        <f>'PRECIOS INSUMOS 2015'!C$5</f>
        <v>2</v>
      </c>
      <c r="N47" s="18">
        <f t="shared" si="0"/>
        <v>27.52</v>
      </c>
      <c r="O47" s="209">
        <f t="shared" si="4"/>
        <v>0.109375</v>
      </c>
      <c r="P47" s="81">
        <f t="shared" si="5"/>
        <v>8.75</v>
      </c>
      <c r="Q47" s="306">
        <f t="shared" si="2"/>
        <v>36.269999999999996</v>
      </c>
    </row>
    <row r="48" spans="1:17" x14ac:dyDescent="0.2">
      <c r="A48" s="328" t="s">
        <v>381</v>
      </c>
      <c r="B48" s="838" t="s">
        <v>494</v>
      </c>
      <c r="C48" s="213">
        <v>51</v>
      </c>
      <c r="D48" s="213" t="s">
        <v>266</v>
      </c>
      <c r="E48" s="213" t="s">
        <v>268</v>
      </c>
      <c r="F48" s="213" t="s">
        <v>308</v>
      </c>
      <c r="G48" s="213">
        <v>1</v>
      </c>
      <c r="H48" s="330">
        <v>0.17</v>
      </c>
      <c r="I48" s="219"/>
      <c r="J48" s="219">
        <v>10</v>
      </c>
      <c r="K48" s="14" t="s">
        <v>599</v>
      </c>
      <c r="L48" s="14">
        <v>1.5</v>
      </c>
      <c r="M48" s="105">
        <v>432.94</v>
      </c>
      <c r="N48" s="104">
        <f t="shared" si="0"/>
        <v>649.41</v>
      </c>
      <c r="O48" s="219">
        <f t="shared" si="4"/>
        <v>5.8823529411764701</v>
      </c>
      <c r="P48" s="299">
        <f t="shared" si="5"/>
        <v>470.58823529411762</v>
      </c>
      <c r="Q48" s="357">
        <f t="shared" si="2"/>
        <v>1119.9982352941176</v>
      </c>
    </row>
    <row r="49" spans="1:17" x14ac:dyDescent="0.2">
      <c r="A49" s="328" t="s">
        <v>382</v>
      </c>
      <c r="B49" s="212" t="s">
        <v>493</v>
      </c>
      <c r="C49" s="207">
        <v>51</v>
      </c>
      <c r="D49" s="207" t="s">
        <v>266</v>
      </c>
      <c r="E49" s="207" t="s">
        <v>268</v>
      </c>
      <c r="F49" s="207" t="s">
        <v>308</v>
      </c>
      <c r="G49" s="207">
        <v>1</v>
      </c>
      <c r="H49" s="329">
        <v>0.17</v>
      </c>
      <c r="I49" s="209"/>
      <c r="J49" s="209">
        <v>10</v>
      </c>
      <c r="K49" s="13" t="s">
        <v>515</v>
      </c>
      <c r="L49" s="13">
        <v>0.25</v>
      </c>
      <c r="M49" s="102">
        <f>'PRECIOS INSUMOS 2015'!E$193</f>
        <v>1500</v>
      </c>
      <c r="N49" s="18">
        <f t="shared" si="0"/>
        <v>375</v>
      </c>
      <c r="O49" s="209">
        <f t="shared" si="4"/>
        <v>5.8823529411764701</v>
      </c>
      <c r="P49" s="81">
        <f t="shared" si="5"/>
        <v>470.58823529411762</v>
      </c>
      <c r="Q49" s="209">
        <f t="shared" si="2"/>
        <v>845.58823529411757</v>
      </c>
    </row>
    <row r="50" spans="1:17" x14ac:dyDescent="0.2">
      <c r="A50" s="328" t="s">
        <v>383</v>
      </c>
      <c r="B50" s="380" t="s">
        <v>269</v>
      </c>
      <c r="C50" s="304">
        <v>52</v>
      </c>
      <c r="D50" s="304" t="s">
        <v>257</v>
      </c>
      <c r="E50" s="303" t="s">
        <v>360</v>
      </c>
      <c r="F50" s="304" t="s">
        <v>308</v>
      </c>
      <c r="G50" s="304">
        <v>1</v>
      </c>
      <c r="H50" s="330">
        <v>4</v>
      </c>
      <c r="I50" s="306">
        <v>10</v>
      </c>
      <c r="J50" s="306"/>
      <c r="K50" s="47" t="s">
        <v>234</v>
      </c>
      <c r="L50" s="47">
        <v>7.2</v>
      </c>
      <c r="M50" s="47">
        <f>'PRECIOS INSUMOS 2015'!C$5</f>
        <v>2</v>
      </c>
      <c r="N50" s="57">
        <f t="shared" si="0"/>
        <v>14.4</v>
      </c>
      <c r="O50" s="306">
        <f t="shared" si="4"/>
        <v>0.25</v>
      </c>
      <c r="P50" s="308">
        <f t="shared" si="5"/>
        <v>20</v>
      </c>
      <c r="Q50" s="306">
        <f t="shared" si="2"/>
        <v>34.4</v>
      </c>
    </row>
    <row r="51" spans="1:17" x14ac:dyDescent="0.2">
      <c r="A51" s="328" t="s">
        <v>384</v>
      </c>
      <c r="B51" s="212" t="s">
        <v>270</v>
      </c>
      <c r="C51" s="207">
        <v>53</v>
      </c>
      <c r="D51" s="207" t="s">
        <v>266</v>
      </c>
      <c r="E51" s="207" t="s">
        <v>271</v>
      </c>
      <c r="F51" s="207" t="s">
        <v>308</v>
      </c>
      <c r="G51" s="207">
        <v>1</v>
      </c>
      <c r="H51" s="330">
        <v>0.08</v>
      </c>
      <c r="I51" s="209"/>
      <c r="J51" s="209">
        <v>10</v>
      </c>
      <c r="K51" s="13"/>
      <c r="L51" s="13"/>
      <c r="M51" s="13"/>
      <c r="N51" s="18">
        <f t="shared" si="0"/>
        <v>0</v>
      </c>
      <c r="O51" s="209">
        <f t="shared" si="4"/>
        <v>12.5</v>
      </c>
      <c r="P51" s="81">
        <f t="shared" si="5"/>
        <v>1000</v>
      </c>
      <c r="Q51" s="306">
        <f t="shared" si="2"/>
        <v>1000</v>
      </c>
    </row>
    <row r="52" spans="1:17" x14ac:dyDescent="0.2">
      <c r="A52" s="328" t="s">
        <v>386</v>
      </c>
      <c r="B52" s="212" t="s">
        <v>598</v>
      </c>
      <c r="C52" s="207">
        <v>56</v>
      </c>
      <c r="D52" s="207" t="s">
        <v>257</v>
      </c>
      <c r="E52" s="254" t="s">
        <v>476</v>
      </c>
      <c r="F52" s="207" t="s">
        <v>308</v>
      </c>
      <c r="G52" s="207">
        <v>1</v>
      </c>
      <c r="H52" s="330">
        <v>1.7</v>
      </c>
      <c r="I52" s="209">
        <v>10</v>
      </c>
      <c r="J52" s="209"/>
      <c r="K52" s="13" t="s">
        <v>234</v>
      </c>
      <c r="L52" s="13">
        <f>0.86*2</f>
        <v>1.72</v>
      </c>
      <c r="M52" s="13">
        <f>'PRECIOS INSUMOS 2015'!C$5</f>
        <v>2</v>
      </c>
      <c r="N52" s="18">
        <f t="shared" si="0"/>
        <v>3.44</v>
      </c>
      <c r="O52" s="209">
        <f t="shared" si="4"/>
        <v>0.58823529411764708</v>
      </c>
      <c r="P52" s="81">
        <f t="shared" si="5"/>
        <v>47.058823529411768</v>
      </c>
      <c r="Q52" s="306">
        <f t="shared" si="2"/>
        <v>50.498823529411766</v>
      </c>
    </row>
    <row r="53" spans="1:17" x14ac:dyDescent="0.2">
      <c r="A53" s="328" t="s">
        <v>387</v>
      </c>
      <c r="B53" s="95" t="s">
        <v>263</v>
      </c>
      <c r="C53" s="1">
        <v>56</v>
      </c>
      <c r="D53" s="1" t="s">
        <v>257</v>
      </c>
      <c r="E53" s="12" t="s">
        <v>476</v>
      </c>
      <c r="F53" s="1" t="s">
        <v>308</v>
      </c>
      <c r="G53" s="1">
        <v>1</v>
      </c>
      <c r="H53" s="224"/>
      <c r="I53" s="18"/>
      <c r="J53" s="68"/>
      <c r="K53" s="13" t="s">
        <v>1367</v>
      </c>
      <c r="L53" s="13">
        <v>0.35</v>
      </c>
      <c r="M53" s="13">
        <v>18</v>
      </c>
      <c r="N53" s="18">
        <f t="shared" si="0"/>
        <v>6.3</v>
      </c>
      <c r="O53" s="18"/>
      <c r="P53" s="81"/>
      <c r="Q53" s="57">
        <f t="shared" si="2"/>
        <v>6.3</v>
      </c>
    </row>
    <row r="54" spans="1:17" x14ac:dyDescent="0.2">
      <c r="A54" s="328" t="s">
        <v>389</v>
      </c>
      <c r="B54" s="212" t="s">
        <v>598</v>
      </c>
      <c r="C54" s="207">
        <v>62</v>
      </c>
      <c r="D54" s="207" t="s">
        <v>257</v>
      </c>
      <c r="E54" s="254" t="s">
        <v>476</v>
      </c>
      <c r="F54" s="207" t="s">
        <v>308</v>
      </c>
      <c r="G54" s="207">
        <v>1</v>
      </c>
      <c r="H54" s="330">
        <v>1.7</v>
      </c>
      <c r="I54" s="209">
        <v>10</v>
      </c>
      <c r="J54" s="209"/>
      <c r="K54" s="13" t="s">
        <v>234</v>
      </c>
      <c r="L54" s="13">
        <f>0.86*2</f>
        <v>1.72</v>
      </c>
      <c r="M54" s="13">
        <f>'PRECIOS INSUMOS 2015'!C$5</f>
        <v>2</v>
      </c>
      <c r="N54" s="18">
        <f t="shared" si="0"/>
        <v>3.44</v>
      </c>
      <c r="O54" s="209">
        <f>G54/H54</f>
        <v>0.58823529411764708</v>
      </c>
      <c r="P54" s="81">
        <f>O54*(I54+J54)*8</f>
        <v>47.058823529411768</v>
      </c>
      <c r="Q54" s="306">
        <f t="shared" si="2"/>
        <v>50.498823529411766</v>
      </c>
    </row>
    <row r="55" spans="1:17" x14ac:dyDescent="0.2">
      <c r="A55" s="328" t="s">
        <v>391</v>
      </c>
      <c r="B55" s="95" t="s">
        <v>263</v>
      </c>
      <c r="C55" s="1">
        <v>62</v>
      </c>
      <c r="D55" s="1" t="s">
        <v>257</v>
      </c>
      <c r="E55" s="12" t="s">
        <v>476</v>
      </c>
      <c r="F55" s="1" t="s">
        <v>308</v>
      </c>
      <c r="G55" s="1">
        <v>1</v>
      </c>
      <c r="H55" s="224"/>
      <c r="I55" s="18"/>
      <c r="J55" s="68"/>
      <c r="K55" s="13" t="s">
        <v>1367</v>
      </c>
      <c r="L55" s="13">
        <v>0.35</v>
      </c>
      <c r="M55" s="13">
        <v>18</v>
      </c>
      <c r="N55" s="18">
        <f t="shared" si="0"/>
        <v>6.3</v>
      </c>
      <c r="O55" s="18"/>
      <c r="P55" s="81"/>
      <c r="Q55" s="57">
        <f t="shared" si="2"/>
        <v>6.3</v>
      </c>
    </row>
    <row r="56" spans="1:17" x14ac:dyDescent="0.2">
      <c r="A56" s="328" t="s">
        <v>392</v>
      </c>
      <c r="B56" s="212" t="s">
        <v>598</v>
      </c>
      <c r="C56" s="207">
        <v>68</v>
      </c>
      <c r="D56" s="207" t="s">
        <v>257</v>
      </c>
      <c r="E56" s="254" t="s">
        <v>476</v>
      </c>
      <c r="F56" s="207" t="s">
        <v>308</v>
      </c>
      <c r="G56" s="207">
        <v>1</v>
      </c>
      <c r="H56" s="330">
        <v>1.7</v>
      </c>
      <c r="I56" s="209">
        <v>10</v>
      </c>
      <c r="J56" s="209"/>
      <c r="K56" s="13" t="s">
        <v>234</v>
      </c>
      <c r="L56" s="13">
        <f>0.86*2</f>
        <v>1.72</v>
      </c>
      <c r="M56" s="13">
        <f>'PRECIOS INSUMOS 2015'!C$5</f>
        <v>2</v>
      </c>
      <c r="N56" s="18">
        <f t="shared" si="0"/>
        <v>3.44</v>
      </c>
      <c r="O56" s="209">
        <f>G56/H56</f>
        <v>0.58823529411764708</v>
      </c>
      <c r="P56" s="81">
        <f>O56*(I56+J56)*8</f>
        <v>47.058823529411768</v>
      </c>
      <c r="Q56" s="306">
        <f t="shared" si="2"/>
        <v>50.498823529411766</v>
      </c>
    </row>
    <row r="57" spans="1:17" x14ac:dyDescent="0.2">
      <c r="A57" s="328" t="s">
        <v>393</v>
      </c>
      <c r="B57" s="95" t="s">
        <v>263</v>
      </c>
      <c r="C57" s="1">
        <v>68</v>
      </c>
      <c r="D57" s="1" t="s">
        <v>257</v>
      </c>
      <c r="E57" s="12" t="s">
        <v>476</v>
      </c>
      <c r="F57" s="1" t="s">
        <v>308</v>
      </c>
      <c r="G57" s="1">
        <v>1</v>
      </c>
      <c r="H57" s="224"/>
      <c r="I57" s="18"/>
      <c r="J57" s="68"/>
      <c r="K57" s="13" t="s">
        <v>1367</v>
      </c>
      <c r="L57" s="13">
        <v>0.35</v>
      </c>
      <c r="M57" s="13">
        <v>18</v>
      </c>
      <c r="N57" s="18">
        <f t="shared" si="0"/>
        <v>6.3</v>
      </c>
      <c r="O57" s="18"/>
      <c r="P57" s="81"/>
      <c r="Q57" s="57">
        <f t="shared" si="2"/>
        <v>6.3</v>
      </c>
    </row>
    <row r="58" spans="1:17" x14ac:dyDescent="0.2">
      <c r="A58" s="328" t="s">
        <v>395</v>
      </c>
      <c r="B58" s="212" t="s">
        <v>269</v>
      </c>
      <c r="C58" s="207">
        <v>70</v>
      </c>
      <c r="D58" s="207" t="s">
        <v>257</v>
      </c>
      <c r="E58" s="254" t="s">
        <v>360</v>
      </c>
      <c r="F58" s="207" t="s">
        <v>308</v>
      </c>
      <c r="G58" s="207">
        <v>1</v>
      </c>
      <c r="H58" s="330">
        <v>4</v>
      </c>
      <c r="I58" s="209">
        <v>10</v>
      </c>
      <c r="J58" s="209"/>
      <c r="K58" s="13" t="s">
        <v>234</v>
      </c>
      <c r="L58" s="13">
        <v>7.2</v>
      </c>
      <c r="M58" s="13">
        <f>'PRECIOS INSUMOS 2015'!C$5</f>
        <v>2</v>
      </c>
      <c r="N58" s="18">
        <f t="shared" si="0"/>
        <v>14.4</v>
      </c>
      <c r="O58" s="209">
        <f>G58/H58</f>
        <v>0.25</v>
      </c>
      <c r="P58" s="81">
        <f>O58*(I58+J58)*8</f>
        <v>20</v>
      </c>
      <c r="Q58" s="306">
        <f t="shared" si="2"/>
        <v>34.4</v>
      </c>
    </row>
    <row r="59" spans="1:17" x14ac:dyDescent="0.2">
      <c r="A59" s="328" t="s">
        <v>396</v>
      </c>
      <c r="B59" s="212" t="s">
        <v>270</v>
      </c>
      <c r="C59" s="207">
        <v>71</v>
      </c>
      <c r="D59" s="207" t="s">
        <v>266</v>
      </c>
      <c r="E59" s="207" t="s">
        <v>271</v>
      </c>
      <c r="F59" s="207" t="s">
        <v>308</v>
      </c>
      <c r="G59" s="207">
        <v>1</v>
      </c>
      <c r="H59" s="330">
        <v>0.08</v>
      </c>
      <c r="I59" s="209"/>
      <c r="J59" s="209">
        <v>10</v>
      </c>
      <c r="K59" s="13"/>
      <c r="L59" s="13"/>
      <c r="M59" s="13"/>
      <c r="N59" s="18">
        <f t="shared" si="0"/>
        <v>0</v>
      </c>
      <c r="O59" s="209">
        <f>G59/H59</f>
        <v>12.5</v>
      </c>
      <c r="P59" s="81">
        <f>O59*(I59+J59)*8</f>
        <v>1000</v>
      </c>
      <c r="Q59" s="306">
        <f t="shared" si="2"/>
        <v>1000</v>
      </c>
    </row>
    <row r="60" spans="1:17" x14ac:dyDescent="0.2">
      <c r="A60" s="328" t="s">
        <v>397</v>
      </c>
      <c r="B60" s="212" t="s">
        <v>598</v>
      </c>
      <c r="C60" s="207">
        <v>75</v>
      </c>
      <c r="D60" s="207" t="s">
        <v>257</v>
      </c>
      <c r="E60" s="254" t="s">
        <v>476</v>
      </c>
      <c r="F60" s="207" t="s">
        <v>308</v>
      </c>
      <c r="G60" s="207">
        <v>1</v>
      </c>
      <c r="H60" s="330">
        <v>1.7</v>
      </c>
      <c r="I60" s="209">
        <v>10</v>
      </c>
      <c r="J60" s="209"/>
      <c r="K60" s="13" t="s">
        <v>234</v>
      </c>
      <c r="L60" s="13">
        <f>0.86*2</f>
        <v>1.72</v>
      </c>
      <c r="M60" s="13">
        <f>'PRECIOS INSUMOS 2015'!C$5</f>
        <v>2</v>
      </c>
      <c r="N60" s="18">
        <f t="shared" si="0"/>
        <v>3.44</v>
      </c>
      <c r="O60" s="209">
        <f>G60/H60</f>
        <v>0.58823529411764708</v>
      </c>
      <c r="P60" s="81">
        <f>O60*(I60+J60)*8</f>
        <v>47.058823529411768</v>
      </c>
      <c r="Q60" s="306">
        <f t="shared" si="2"/>
        <v>50.498823529411766</v>
      </c>
    </row>
    <row r="61" spans="1:17" x14ac:dyDescent="0.2">
      <c r="A61" s="328" t="s">
        <v>398</v>
      </c>
      <c r="B61" s="95" t="s">
        <v>263</v>
      </c>
      <c r="C61" s="1">
        <v>75</v>
      </c>
      <c r="D61" s="1" t="s">
        <v>257</v>
      </c>
      <c r="E61" s="12" t="s">
        <v>476</v>
      </c>
      <c r="F61" s="1" t="s">
        <v>308</v>
      </c>
      <c r="G61" s="1">
        <v>1</v>
      </c>
      <c r="H61" s="224"/>
      <c r="I61" s="18"/>
      <c r="J61" s="68"/>
      <c r="K61" s="13" t="s">
        <v>1367</v>
      </c>
      <c r="L61" s="13">
        <v>0.35</v>
      </c>
      <c r="M61" s="13">
        <v>18</v>
      </c>
      <c r="N61" s="18">
        <f t="shared" si="0"/>
        <v>6.3</v>
      </c>
      <c r="O61" s="18"/>
      <c r="P61" s="81"/>
      <c r="Q61" s="57">
        <f t="shared" si="2"/>
        <v>6.3</v>
      </c>
    </row>
    <row r="62" spans="1:17" x14ac:dyDescent="0.2">
      <c r="A62" s="328" t="s">
        <v>399</v>
      </c>
      <c r="B62" s="212" t="s">
        <v>273</v>
      </c>
      <c r="C62" s="207">
        <v>80</v>
      </c>
      <c r="D62" s="207" t="s">
        <v>266</v>
      </c>
      <c r="E62" s="207" t="s">
        <v>272</v>
      </c>
      <c r="F62" s="207" t="s">
        <v>308</v>
      </c>
      <c r="G62" s="207">
        <v>1</v>
      </c>
      <c r="H62" s="330">
        <v>0.62</v>
      </c>
      <c r="I62" s="209"/>
      <c r="J62" s="209">
        <v>10</v>
      </c>
      <c r="K62" s="13"/>
      <c r="L62" s="13"/>
      <c r="M62" s="13"/>
      <c r="N62" s="18">
        <f t="shared" si="0"/>
        <v>0</v>
      </c>
      <c r="O62" s="209">
        <f>G62/H62</f>
        <v>1.6129032258064517</v>
      </c>
      <c r="P62" s="81">
        <f>O62*(I62+J62)*8</f>
        <v>129.03225806451613</v>
      </c>
      <c r="Q62" s="306">
        <f t="shared" si="2"/>
        <v>129.03225806451613</v>
      </c>
    </row>
    <row r="63" spans="1:17" x14ac:dyDescent="0.2">
      <c r="A63" s="328" t="s">
        <v>401</v>
      </c>
      <c r="B63" s="212" t="s">
        <v>491</v>
      </c>
      <c r="C63" s="207">
        <v>80</v>
      </c>
      <c r="D63" s="207" t="s">
        <v>266</v>
      </c>
      <c r="E63" s="207" t="s">
        <v>272</v>
      </c>
      <c r="F63" s="207" t="s">
        <v>308</v>
      </c>
      <c r="G63" s="207">
        <v>1</v>
      </c>
      <c r="H63" s="330">
        <v>0.62</v>
      </c>
      <c r="I63" s="209"/>
      <c r="J63" s="209">
        <v>10</v>
      </c>
      <c r="K63" s="13"/>
      <c r="L63" s="13"/>
      <c r="M63" s="13"/>
      <c r="N63" s="18">
        <f t="shared" si="0"/>
        <v>0</v>
      </c>
      <c r="O63" s="209">
        <f>G63/H63</f>
        <v>1.6129032258064517</v>
      </c>
      <c r="P63" s="81">
        <f>O63*(I63+J63)*8</f>
        <v>129.03225806451613</v>
      </c>
      <c r="Q63" s="306">
        <f t="shared" si="2"/>
        <v>129.03225806451613</v>
      </c>
    </row>
    <row r="64" spans="1:17" x14ac:dyDescent="0.2">
      <c r="A64" s="328" t="s">
        <v>402</v>
      </c>
      <c r="B64" s="212" t="s">
        <v>598</v>
      </c>
      <c r="C64" s="207">
        <v>82</v>
      </c>
      <c r="D64" s="207" t="s">
        <v>257</v>
      </c>
      <c r="E64" s="254" t="s">
        <v>476</v>
      </c>
      <c r="F64" s="207" t="s">
        <v>308</v>
      </c>
      <c r="G64" s="207">
        <v>1</v>
      </c>
      <c r="H64" s="330">
        <v>1.7</v>
      </c>
      <c r="I64" s="209">
        <v>10</v>
      </c>
      <c r="J64" s="209"/>
      <c r="K64" s="13" t="s">
        <v>234</v>
      </c>
      <c r="L64" s="13">
        <f>0.86*2</f>
        <v>1.72</v>
      </c>
      <c r="M64" s="13">
        <f>'PRECIOS INSUMOS 2015'!C$5</f>
        <v>2</v>
      </c>
      <c r="N64" s="18">
        <f t="shared" si="0"/>
        <v>3.44</v>
      </c>
      <c r="O64" s="209">
        <f>G64/H64</f>
        <v>0.58823529411764708</v>
      </c>
      <c r="P64" s="81">
        <f>O64*(I64+J64)*8</f>
        <v>47.058823529411768</v>
      </c>
      <c r="Q64" s="306">
        <f t="shared" si="2"/>
        <v>50.498823529411766</v>
      </c>
    </row>
    <row r="65" spans="1:17" x14ac:dyDescent="0.2">
      <c r="A65" s="328" t="s">
        <v>403</v>
      </c>
      <c r="B65" s="839" t="s">
        <v>263</v>
      </c>
      <c r="C65" s="313">
        <v>82</v>
      </c>
      <c r="D65" s="313" t="s">
        <v>257</v>
      </c>
      <c r="E65" s="312" t="s">
        <v>476</v>
      </c>
      <c r="F65" s="313" t="s">
        <v>308</v>
      </c>
      <c r="G65" s="313">
        <v>1</v>
      </c>
      <c r="H65" s="338"/>
      <c r="I65" s="104"/>
      <c r="J65" s="840"/>
      <c r="K65" s="14" t="s">
        <v>1367</v>
      </c>
      <c r="L65" s="14">
        <v>0.35</v>
      </c>
      <c r="M65" s="14">
        <v>18</v>
      </c>
      <c r="N65" s="104">
        <f t="shared" si="0"/>
        <v>6.3</v>
      </c>
      <c r="O65" s="104"/>
      <c r="P65" s="299"/>
      <c r="Q65" s="841">
        <f t="shared" si="2"/>
        <v>6.3</v>
      </c>
    </row>
    <row r="66" spans="1:17" x14ac:dyDescent="0.2">
      <c r="A66" s="328" t="s">
        <v>404</v>
      </c>
      <c r="B66" s="212" t="s">
        <v>493</v>
      </c>
      <c r="C66" s="207">
        <v>87</v>
      </c>
      <c r="D66" s="207" t="s">
        <v>266</v>
      </c>
      <c r="E66" s="207" t="s">
        <v>268</v>
      </c>
      <c r="F66" s="207" t="s">
        <v>308</v>
      </c>
      <c r="G66" s="207">
        <v>1</v>
      </c>
      <c r="H66" s="329">
        <v>0.17</v>
      </c>
      <c r="I66" s="209"/>
      <c r="J66" s="209">
        <v>10</v>
      </c>
      <c r="K66" s="13" t="s">
        <v>515</v>
      </c>
      <c r="L66" s="13">
        <v>0.25</v>
      </c>
      <c r="M66" s="102">
        <f>'PRECIOS INSUMOS 2015'!E$193</f>
        <v>1500</v>
      </c>
      <c r="N66" s="18">
        <f t="shared" si="0"/>
        <v>375</v>
      </c>
      <c r="O66" s="209">
        <f>G66/H66</f>
        <v>5.8823529411764701</v>
      </c>
      <c r="P66" s="81">
        <f>O66*(I66+J66)*8</f>
        <v>470.58823529411762</v>
      </c>
      <c r="Q66" s="209">
        <f t="shared" si="2"/>
        <v>845.58823529411757</v>
      </c>
    </row>
    <row r="67" spans="1:17" x14ac:dyDescent="0.2">
      <c r="A67" s="328" t="s">
        <v>405</v>
      </c>
      <c r="B67" s="380" t="s">
        <v>598</v>
      </c>
      <c r="C67" s="304">
        <v>89</v>
      </c>
      <c r="D67" s="304" t="s">
        <v>257</v>
      </c>
      <c r="E67" s="303" t="s">
        <v>476</v>
      </c>
      <c r="F67" s="304" t="s">
        <v>308</v>
      </c>
      <c r="G67" s="304">
        <v>2</v>
      </c>
      <c r="H67" s="330">
        <v>1.7</v>
      </c>
      <c r="I67" s="306">
        <v>10</v>
      </c>
      <c r="J67" s="306"/>
      <c r="K67" s="47" t="s">
        <v>234</v>
      </c>
      <c r="L67" s="47">
        <f>0.86*2</f>
        <v>1.72</v>
      </c>
      <c r="M67" s="47">
        <f>'PRECIOS INSUMOS 2015'!C$5</f>
        <v>2</v>
      </c>
      <c r="N67" s="57">
        <f t="shared" si="0"/>
        <v>3.44</v>
      </c>
      <c r="O67" s="306">
        <f>G67/H67</f>
        <v>1.1764705882352942</v>
      </c>
      <c r="P67" s="308">
        <f>O67*(I67+J67)*8</f>
        <v>94.117647058823536</v>
      </c>
      <c r="Q67" s="306">
        <f t="shared" si="2"/>
        <v>97.557647058823534</v>
      </c>
    </row>
    <row r="68" spans="1:17" x14ac:dyDescent="0.2">
      <c r="A68" s="328" t="s">
        <v>406</v>
      </c>
      <c r="B68" s="95" t="s">
        <v>263</v>
      </c>
      <c r="C68" s="1">
        <v>89</v>
      </c>
      <c r="D68" s="1" t="s">
        <v>257</v>
      </c>
      <c r="E68" s="12" t="s">
        <v>476</v>
      </c>
      <c r="F68" s="1" t="s">
        <v>308</v>
      </c>
      <c r="G68" s="1">
        <v>1</v>
      </c>
      <c r="H68" s="224"/>
      <c r="I68" s="18"/>
      <c r="J68" s="68"/>
      <c r="K68" s="13" t="s">
        <v>1367</v>
      </c>
      <c r="L68" s="13">
        <v>0.35</v>
      </c>
      <c r="M68" s="13">
        <v>18</v>
      </c>
      <c r="N68" s="18">
        <f t="shared" si="0"/>
        <v>6.3</v>
      </c>
      <c r="O68" s="18"/>
      <c r="P68" s="81"/>
      <c r="Q68" s="57">
        <f t="shared" si="2"/>
        <v>6.3</v>
      </c>
    </row>
    <row r="69" spans="1:17" x14ac:dyDescent="0.2">
      <c r="A69" s="328" t="s">
        <v>407</v>
      </c>
      <c r="B69" s="212" t="s">
        <v>598</v>
      </c>
      <c r="C69" s="207">
        <v>96</v>
      </c>
      <c r="D69" s="207" t="s">
        <v>257</v>
      </c>
      <c r="E69" s="254" t="s">
        <v>476</v>
      </c>
      <c r="F69" s="207" t="s">
        <v>308</v>
      </c>
      <c r="G69" s="207">
        <v>1</v>
      </c>
      <c r="H69" s="330">
        <v>1.7</v>
      </c>
      <c r="I69" s="209">
        <v>10</v>
      </c>
      <c r="J69" s="209"/>
      <c r="K69" s="13" t="s">
        <v>234</v>
      </c>
      <c r="L69" s="13">
        <f>0.86*2</f>
        <v>1.72</v>
      </c>
      <c r="M69" s="13">
        <f>'PRECIOS INSUMOS 2015'!C$5</f>
        <v>2</v>
      </c>
      <c r="N69" s="18">
        <f t="shared" si="0"/>
        <v>3.44</v>
      </c>
      <c r="O69" s="209">
        <f>G69/H69</f>
        <v>0.58823529411764708</v>
      </c>
      <c r="P69" s="81">
        <f>O69*(I69+J69)*8</f>
        <v>47.058823529411768</v>
      </c>
      <c r="Q69" s="306">
        <f t="shared" si="2"/>
        <v>50.498823529411766</v>
      </c>
    </row>
    <row r="70" spans="1:17" x14ac:dyDescent="0.2">
      <c r="A70" s="328" t="s">
        <v>408</v>
      </c>
      <c r="B70" s="95" t="s">
        <v>263</v>
      </c>
      <c r="C70" s="1">
        <v>96</v>
      </c>
      <c r="D70" s="1" t="s">
        <v>257</v>
      </c>
      <c r="E70" s="12" t="s">
        <v>476</v>
      </c>
      <c r="F70" s="1" t="s">
        <v>308</v>
      </c>
      <c r="G70" s="1">
        <v>1</v>
      </c>
      <c r="H70" s="224"/>
      <c r="I70" s="18"/>
      <c r="J70" s="68"/>
      <c r="K70" s="13" t="s">
        <v>1367</v>
      </c>
      <c r="L70" s="13">
        <v>0.35</v>
      </c>
      <c r="M70" s="13">
        <v>18</v>
      </c>
      <c r="N70" s="18">
        <f t="shared" si="0"/>
        <v>6.3</v>
      </c>
      <c r="O70" s="18"/>
      <c r="P70" s="81"/>
      <c r="Q70" s="57">
        <f t="shared" si="2"/>
        <v>6.3</v>
      </c>
    </row>
    <row r="71" spans="1:17" x14ac:dyDescent="0.2">
      <c r="A71" s="328" t="s">
        <v>409</v>
      </c>
      <c r="B71" s="212" t="s">
        <v>495</v>
      </c>
      <c r="C71" s="207">
        <v>100</v>
      </c>
      <c r="D71" s="207" t="s">
        <v>266</v>
      </c>
      <c r="E71" s="207" t="s">
        <v>267</v>
      </c>
      <c r="F71" s="207" t="s">
        <v>308</v>
      </c>
      <c r="G71" s="207">
        <v>1</v>
      </c>
      <c r="H71" s="330">
        <v>0.5</v>
      </c>
      <c r="I71" s="209"/>
      <c r="J71" s="209">
        <v>10</v>
      </c>
      <c r="K71" s="13" t="s">
        <v>513</v>
      </c>
      <c r="L71" s="13">
        <v>4</v>
      </c>
      <c r="M71" s="13">
        <v>3.8</v>
      </c>
      <c r="N71" s="18">
        <f t="shared" si="0"/>
        <v>15.2</v>
      </c>
      <c r="O71" s="209">
        <f>G71/H71</f>
        <v>2</v>
      </c>
      <c r="P71" s="81">
        <f>O71*(I71+J71)*8</f>
        <v>160</v>
      </c>
      <c r="Q71" s="306">
        <f t="shared" si="2"/>
        <v>175.2</v>
      </c>
    </row>
    <row r="72" spans="1:17" x14ac:dyDescent="0.2">
      <c r="A72" s="328" t="s">
        <v>410</v>
      </c>
      <c r="B72" s="212" t="s">
        <v>598</v>
      </c>
      <c r="C72" s="207">
        <v>103</v>
      </c>
      <c r="D72" s="207" t="s">
        <v>257</v>
      </c>
      <c r="E72" s="254" t="s">
        <v>476</v>
      </c>
      <c r="F72" s="207" t="s">
        <v>308</v>
      </c>
      <c r="G72" s="207">
        <v>1</v>
      </c>
      <c r="H72" s="330">
        <v>1.7</v>
      </c>
      <c r="I72" s="209">
        <v>10</v>
      </c>
      <c r="J72" s="209"/>
      <c r="K72" s="13" t="s">
        <v>234</v>
      </c>
      <c r="L72" s="13">
        <f>0.86*2</f>
        <v>1.72</v>
      </c>
      <c r="M72" s="13">
        <f>'PRECIOS INSUMOS 2015'!C$5</f>
        <v>2</v>
      </c>
      <c r="N72" s="18">
        <f t="shared" si="0"/>
        <v>3.44</v>
      </c>
      <c r="O72" s="209">
        <f>G72/H72</f>
        <v>0.58823529411764708</v>
      </c>
      <c r="P72" s="81">
        <f>O72*(I72+J72)*8</f>
        <v>47.058823529411768</v>
      </c>
      <c r="Q72" s="306">
        <f t="shared" si="2"/>
        <v>50.498823529411766</v>
      </c>
    </row>
    <row r="73" spans="1:17" x14ac:dyDescent="0.2">
      <c r="A73" s="328" t="s">
        <v>411</v>
      </c>
      <c r="B73" s="95" t="s">
        <v>263</v>
      </c>
      <c r="C73" s="1">
        <v>103</v>
      </c>
      <c r="D73" s="1" t="s">
        <v>257</v>
      </c>
      <c r="E73" s="12" t="s">
        <v>476</v>
      </c>
      <c r="F73" s="1" t="s">
        <v>308</v>
      </c>
      <c r="G73" s="1">
        <v>1</v>
      </c>
      <c r="H73" s="224"/>
      <c r="I73" s="18"/>
      <c r="J73" s="68"/>
      <c r="K73" s="13" t="s">
        <v>1367</v>
      </c>
      <c r="L73" s="13">
        <v>0.35</v>
      </c>
      <c r="M73" s="13">
        <v>18</v>
      </c>
      <c r="N73" s="18">
        <f t="shared" ref="N73:N136" si="6">M73*L73</f>
        <v>6.3</v>
      </c>
      <c r="O73" s="18"/>
      <c r="P73" s="81"/>
      <c r="Q73" s="57">
        <f t="shared" ref="Q73:Q136" si="7">N73+P73</f>
        <v>6.3</v>
      </c>
    </row>
    <row r="74" spans="1:17" x14ac:dyDescent="0.2">
      <c r="A74" s="328" t="s">
        <v>412</v>
      </c>
      <c r="B74" s="212" t="s">
        <v>598</v>
      </c>
      <c r="C74" s="207">
        <v>110</v>
      </c>
      <c r="D74" s="207" t="s">
        <v>257</v>
      </c>
      <c r="E74" s="254" t="s">
        <v>476</v>
      </c>
      <c r="F74" s="207" t="s">
        <v>308</v>
      </c>
      <c r="G74" s="207">
        <v>1</v>
      </c>
      <c r="H74" s="330">
        <v>1.7</v>
      </c>
      <c r="I74" s="209">
        <v>10</v>
      </c>
      <c r="J74" s="209"/>
      <c r="K74" s="13" t="s">
        <v>234</v>
      </c>
      <c r="L74" s="13">
        <f>0.86*2</f>
        <v>1.72</v>
      </c>
      <c r="M74" s="13">
        <f>'PRECIOS INSUMOS 2015'!C$5</f>
        <v>2</v>
      </c>
      <c r="N74" s="18">
        <f t="shared" si="6"/>
        <v>3.44</v>
      </c>
      <c r="O74" s="209">
        <f>G74/H74</f>
        <v>0.58823529411764708</v>
      </c>
      <c r="P74" s="81">
        <f>O74*(I74+J74)*8</f>
        <v>47.058823529411768</v>
      </c>
      <c r="Q74" s="306">
        <f t="shared" si="7"/>
        <v>50.498823529411766</v>
      </c>
    </row>
    <row r="75" spans="1:17" x14ac:dyDescent="0.2">
      <c r="A75" s="328" t="s">
        <v>413</v>
      </c>
      <c r="B75" s="95" t="s">
        <v>263</v>
      </c>
      <c r="C75" s="1">
        <v>110</v>
      </c>
      <c r="D75" s="1" t="s">
        <v>257</v>
      </c>
      <c r="E75" s="12" t="s">
        <v>476</v>
      </c>
      <c r="F75" s="1" t="s">
        <v>308</v>
      </c>
      <c r="G75" s="1">
        <v>1</v>
      </c>
      <c r="H75" s="224"/>
      <c r="I75" s="18"/>
      <c r="J75" s="68"/>
      <c r="K75" s="13" t="s">
        <v>1367</v>
      </c>
      <c r="L75" s="13">
        <v>0.35</v>
      </c>
      <c r="M75" s="13">
        <v>18</v>
      </c>
      <c r="N75" s="18">
        <f t="shared" si="6"/>
        <v>6.3</v>
      </c>
      <c r="O75" s="18"/>
      <c r="P75" s="81"/>
      <c r="Q75" s="57">
        <f t="shared" si="7"/>
        <v>6.3</v>
      </c>
    </row>
    <row r="76" spans="1:17" x14ac:dyDescent="0.2">
      <c r="A76" s="328" t="s">
        <v>414</v>
      </c>
      <c r="B76" s="212" t="s">
        <v>273</v>
      </c>
      <c r="C76" s="207">
        <v>112</v>
      </c>
      <c r="D76" s="207" t="s">
        <v>266</v>
      </c>
      <c r="E76" s="207" t="s">
        <v>272</v>
      </c>
      <c r="F76" s="207" t="s">
        <v>308</v>
      </c>
      <c r="G76" s="207">
        <v>1</v>
      </c>
      <c r="H76" s="330">
        <v>0.62</v>
      </c>
      <c r="I76" s="209"/>
      <c r="J76" s="209">
        <v>10</v>
      </c>
      <c r="K76" s="13"/>
      <c r="L76" s="13"/>
      <c r="M76" s="13"/>
      <c r="N76" s="18">
        <f t="shared" si="6"/>
        <v>0</v>
      </c>
      <c r="O76" s="209">
        <f>G76/H76</f>
        <v>1.6129032258064517</v>
      </c>
      <c r="P76" s="81">
        <f>O76*(I76+J76)*8</f>
        <v>129.03225806451613</v>
      </c>
      <c r="Q76" s="306">
        <f t="shared" si="7"/>
        <v>129.03225806451613</v>
      </c>
    </row>
    <row r="77" spans="1:17" x14ac:dyDescent="0.2">
      <c r="A77" s="328" t="s">
        <v>415</v>
      </c>
      <c r="B77" s="212" t="s">
        <v>491</v>
      </c>
      <c r="C77" s="207">
        <v>112</v>
      </c>
      <c r="D77" s="207" t="s">
        <v>266</v>
      </c>
      <c r="E77" s="207" t="s">
        <v>272</v>
      </c>
      <c r="F77" s="207" t="s">
        <v>308</v>
      </c>
      <c r="G77" s="207">
        <v>1</v>
      </c>
      <c r="H77" s="330">
        <v>0.62</v>
      </c>
      <c r="I77" s="209"/>
      <c r="J77" s="209">
        <v>10</v>
      </c>
      <c r="K77" s="13"/>
      <c r="L77" s="13"/>
      <c r="M77" s="13"/>
      <c r="N77" s="18">
        <f t="shared" si="6"/>
        <v>0</v>
      </c>
      <c r="O77" s="209">
        <f>G77/H77</f>
        <v>1.6129032258064517</v>
      </c>
      <c r="P77" s="81">
        <f>O77*(I77+J77)*8</f>
        <v>129.03225806451613</v>
      </c>
      <c r="Q77" s="306">
        <f t="shared" si="7"/>
        <v>129.03225806451613</v>
      </c>
    </row>
    <row r="78" spans="1:17" x14ac:dyDescent="0.2">
      <c r="A78" s="328" t="s">
        <v>416</v>
      </c>
      <c r="B78" s="212" t="s">
        <v>598</v>
      </c>
      <c r="C78" s="207">
        <v>117</v>
      </c>
      <c r="D78" s="207" t="s">
        <v>257</v>
      </c>
      <c r="E78" s="254" t="s">
        <v>476</v>
      </c>
      <c r="F78" s="207" t="s">
        <v>308</v>
      </c>
      <c r="G78" s="207">
        <v>1</v>
      </c>
      <c r="H78" s="330">
        <v>1.7</v>
      </c>
      <c r="I78" s="209">
        <v>10</v>
      </c>
      <c r="J78" s="209"/>
      <c r="K78" s="13" t="s">
        <v>234</v>
      </c>
      <c r="L78" s="13">
        <f>0.86*2</f>
        <v>1.72</v>
      </c>
      <c r="M78" s="13">
        <f>'PRECIOS INSUMOS 2015'!C$5</f>
        <v>2</v>
      </c>
      <c r="N78" s="18">
        <f t="shared" si="6"/>
        <v>3.44</v>
      </c>
      <c r="O78" s="209">
        <f>G78/H78</f>
        <v>0.58823529411764708</v>
      </c>
      <c r="P78" s="81">
        <f>O78*(I78+J78)*8</f>
        <v>47.058823529411768</v>
      </c>
      <c r="Q78" s="306">
        <f t="shared" si="7"/>
        <v>50.498823529411766</v>
      </c>
    </row>
    <row r="79" spans="1:17" x14ac:dyDescent="0.2">
      <c r="A79" s="328" t="s">
        <v>417</v>
      </c>
      <c r="B79" s="95" t="s">
        <v>263</v>
      </c>
      <c r="C79" s="1">
        <v>117</v>
      </c>
      <c r="D79" s="1" t="s">
        <v>257</v>
      </c>
      <c r="E79" s="12" t="s">
        <v>476</v>
      </c>
      <c r="F79" s="1" t="s">
        <v>308</v>
      </c>
      <c r="G79" s="1">
        <v>1</v>
      </c>
      <c r="H79" s="224"/>
      <c r="I79" s="18"/>
      <c r="J79" s="68"/>
      <c r="K79" s="13" t="s">
        <v>1367</v>
      </c>
      <c r="L79" s="13">
        <v>0.35</v>
      </c>
      <c r="M79" s="13">
        <v>18</v>
      </c>
      <c r="N79" s="18">
        <f t="shared" si="6"/>
        <v>6.3</v>
      </c>
      <c r="O79" s="18"/>
      <c r="P79" s="81"/>
      <c r="Q79" s="57">
        <f t="shared" si="7"/>
        <v>6.3</v>
      </c>
    </row>
    <row r="80" spans="1:17" x14ac:dyDescent="0.2">
      <c r="A80" s="328" t="s">
        <v>418</v>
      </c>
      <c r="B80" s="212" t="s">
        <v>598</v>
      </c>
      <c r="C80" s="207">
        <v>124</v>
      </c>
      <c r="D80" s="207" t="s">
        <v>257</v>
      </c>
      <c r="E80" s="254" t="s">
        <v>476</v>
      </c>
      <c r="F80" s="207" t="s">
        <v>308</v>
      </c>
      <c r="G80" s="207">
        <v>1</v>
      </c>
      <c r="H80" s="330">
        <v>1.7</v>
      </c>
      <c r="I80" s="209">
        <v>10</v>
      </c>
      <c r="J80" s="209"/>
      <c r="K80" s="13" t="s">
        <v>234</v>
      </c>
      <c r="L80" s="13">
        <f>0.86*2</f>
        <v>1.72</v>
      </c>
      <c r="M80" s="13">
        <f>'PRECIOS INSUMOS 2015'!C$5</f>
        <v>2</v>
      </c>
      <c r="N80" s="18">
        <f t="shared" si="6"/>
        <v>3.44</v>
      </c>
      <c r="O80" s="209">
        <f>G80/H80</f>
        <v>0.58823529411764708</v>
      </c>
      <c r="P80" s="81">
        <f>O80*(I80+J80)*8</f>
        <v>47.058823529411768</v>
      </c>
      <c r="Q80" s="306">
        <f t="shared" si="7"/>
        <v>50.498823529411766</v>
      </c>
    </row>
    <row r="81" spans="1:17" x14ac:dyDescent="0.2">
      <c r="A81" s="328" t="s">
        <v>419</v>
      </c>
      <c r="B81" s="95" t="s">
        <v>263</v>
      </c>
      <c r="C81" s="1">
        <v>124</v>
      </c>
      <c r="D81" s="1" t="s">
        <v>257</v>
      </c>
      <c r="E81" s="12" t="s">
        <v>476</v>
      </c>
      <c r="F81" s="1" t="s">
        <v>308</v>
      </c>
      <c r="G81" s="1">
        <v>1</v>
      </c>
      <c r="H81" s="224"/>
      <c r="I81" s="18"/>
      <c r="J81" s="68"/>
      <c r="K81" s="13" t="s">
        <v>1367</v>
      </c>
      <c r="L81" s="13">
        <v>0.35</v>
      </c>
      <c r="M81" s="13">
        <v>18</v>
      </c>
      <c r="N81" s="18">
        <f t="shared" si="6"/>
        <v>6.3</v>
      </c>
      <c r="O81" s="18"/>
      <c r="P81" s="81"/>
      <c r="Q81" s="57">
        <f t="shared" si="7"/>
        <v>6.3</v>
      </c>
    </row>
    <row r="82" spans="1:17" x14ac:dyDescent="0.2">
      <c r="A82" s="328" t="s">
        <v>420</v>
      </c>
      <c r="B82" s="212" t="s">
        <v>598</v>
      </c>
      <c r="C82" s="207">
        <v>130</v>
      </c>
      <c r="D82" s="207" t="s">
        <v>257</v>
      </c>
      <c r="E82" s="254" t="s">
        <v>476</v>
      </c>
      <c r="F82" s="207" t="s">
        <v>308</v>
      </c>
      <c r="G82" s="207">
        <v>1</v>
      </c>
      <c r="H82" s="330">
        <v>1.7</v>
      </c>
      <c r="I82" s="209">
        <v>10</v>
      </c>
      <c r="J82" s="209"/>
      <c r="K82" s="13" t="s">
        <v>234</v>
      </c>
      <c r="L82" s="13">
        <f>0.86*2</f>
        <v>1.72</v>
      </c>
      <c r="M82" s="13">
        <f>'PRECIOS INSUMOS 2015'!C$5</f>
        <v>2</v>
      </c>
      <c r="N82" s="18">
        <f t="shared" si="6"/>
        <v>3.44</v>
      </c>
      <c r="O82" s="209">
        <f>G82/H82</f>
        <v>0.58823529411764708</v>
      </c>
      <c r="P82" s="81">
        <f>O82*(I82+J82)*8</f>
        <v>47.058823529411768</v>
      </c>
      <c r="Q82" s="306">
        <f t="shared" si="7"/>
        <v>50.498823529411766</v>
      </c>
    </row>
    <row r="83" spans="1:17" x14ac:dyDescent="0.2">
      <c r="A83" s="328" t="s">
        <v>421</v>
      </c>
      <c r="B83" s="95" t="s">
        <v>263</v>
      </c>
      <c r="C83" s="1">
        <v>130</v>
      </c>
      <c r="D83" s="1" t="s">
        <v>257</v>
      </c>
      <c r="E83" s="12" t="s">
        <v>476</v>
      </c>
      <c r="F83" s="1" t="s">
        <v>308</v>
      </c>
      <c r="G83" s="1">
        <v>1</v>
      </c>
      <c r="H83" s="224"/>
      <c r="I83" s="18"/>
      <c r="J83" s="68"/>
      <c r="K83" s="13" t="s">
        <v>1367</v>
      </c>
      <c r="L83" s="13">
        <v>0.35</v>
      </c>
      <c r="M83" s="13">
        <v>18</v>
      </c>
      <c r="N83" s="18">
        <f t="shared" si="6"/>
        <v>6.3</v>
      </c>
      <c r="O83" s="18"/>
      <c r="P83" s="81"/>
      <c r="Q83" s="57">
        <f t="shared" si="7"/>
        <v>6.3</v>
      </c>
    </row>
    <row r="84" spans="1:17" x14ac:dyDescent="0.2">
      <c r="A84" s="328" t="s">
        <v>422</v>
      </c>
      <c r="B84" s="212" t="s">
        <v>495</v>
      </c>
      <c r="C84" s="207">
        <v>132</v>
      </c>
      <c r="D84" s="207" t="s">
        <v>266</v>
      </c>
      <c r="E84" s="207" t="s">
        <v>267</v>
      </c>
      <c r="F84" s="207" t="s">
        <v>308</v>
      </c>
      <c r="G84" s="207">
        <v>1</v>
      </c>
      <c r="H84" s="330">
        <v>0.5</v>
      </c>
      <c r="I84" s="209"/>
      <c r="J84" s="209">
        <v>10</v>
      </c>
      <c r="K84" s="13" t="s">
        <v>513</v>
      </c>
      <c r="L84" s="13">
        <v>4</v>
      </c>
      <c r="M84" s="13">
        <v>3.8</v>
      </c>
      <c r="N84" s="18">
        <f t="shared" si="6"/>
        <v>15.2</v>
      </c>
      <c r="O84" s="209">
        <f>G84/H84</f>
        <v>2</v>
      </c>
      <c r="P84" s="81">
        <f>O84*(I84+J84)*8</f>
        <v>160</v>
      </c>
      <c r="Q84" s="306">
        <f t="shared" si="7"/>
        <v>175.2</v>
      </c>
    </row>
    <row r="85" spans="1:17" x14ac:dyDescent="0.2">
      <c r="A85" s="328" t="s">
        <v>423</v>
      </c>
      <c r="B85" s="212" t="s">
        <v>598</v>
      </c>
      <c r="C85" s="207">
        <v>137</v>
      </c>
      <c r="D85" s="207" t="s">
        <v>257</v>
      </c>
      <c r="E85" s="254" t="s">
        <v>476</v>
      </c>
      <c r="F85" s="207" t="s">
        <v>308</v>
      </c>
      <c r="G85" s="207">
        <v>1</v>
      </c>
      <c r="H85" s="330">
        <v>1.7</v>
      </c>
      <c r="I85" s="209">
        <v>10</v>
      </c>
      <c r="J85" s="209"/>
      <c r="K85" s="13" t="s">
        <v>234</v>
      </c>
      <c r="L85" s="13">
        <f>0.86*2</f>
        <v>1.72</v>
      </c>
      <c r="M85" s="13">
        <f>'PRECIOS INSUMOS 2015'!C$5</f>
        <v>2</v>
      </c>
      <c r="N85" s="18">
        <f t="shared" si="6"/>
        <v>3.44</v>
      </c>
      <c r="O85" s="209">
        <f>G85/H85</f>
        <v>0.58823529411764708</v>
      </c>
      <c r="P85" s="81">
        <f>O85*(I85+J85)*8</f>
        <v>47.058823529411768</v>
      </c>
      <c r="Q85" s="306">
        <f t="shared" si="7"/>
        <v>50.498823529411766</v>
      </c>
    </row>
    <row r="86" spans="1:17" x14ac:dyDescent="0.2">
      <c r="A86" s="328" t="s">
        <v>424</v>
      </c>
      <c r="B86" s="95" t="s">
        <v>263</v>
      </c>
      <c r="C86" s="1">
        <v>137</v>
      </c>
      <c r="D86" s="1" t="s">
        <v>257</v>
      </c>
      <c r="E86" s="12" t="s">
        <v>476</v>
      </c>
      <c r="F86" s="1" t="s">
        <v>308</v>
      </c>
      <c r="G86" s="1">
        <v>1</v>
      </c>
      <c r="H86" s="224"/>
      <c r="I86" s="18"/>
      <c r="J86" s="68"/>
      <c r="K86" s="13" t="s">
        <v>1367</v>
      </c>
      <c r="L86" s="13">
        <v>0.35</v>
      </c>
      <c r="M86" s="13">
        <v>18</v>
      </c>
      <c r="N86" s="18">
        <f t="shared" si="6"/>
        <v>6.3</v>
      </c>
      <c r="O86" s="18"/>
      <c r="P86" s="81"/>
      <c r="Q86" s="57">
        <f t="shared" si="7"/>
        <v>6.3</v>
      </c>
    </row>
    <row r="87" spans="1:17" x14ac:dyDescent="0.2">
      <c r="A87" s="328" t="s">
        <v>425</v>
      </c>
      <c r="B87" s="212" t="s">
        <v>273</v>
      </c>
      <c r="C87" s="207">
        <v>140</v>
      </c>
      <c r="D87" s="207" t="s">
        <v>266</v>
      </c>
      <c r="E87" s="207" t="s">
        <v>272</v>
      </c>
      <c r="F87" s="207" t="s">
        <v>308</v>
      </c>
      <c r="G87" s="207">
        <v>1</v>
      </c>
      <c r="H87" s="330">
        <v>0.62</v>
      </c>
      <c r="I87" s="209"/>
      <c r="J87" s="209">
        <v>10</v>
      </c>
      <c r="K87" s="13"/>
      <c r="L87" s="13"/>
      <c r="M87" s="13"/>
      <c r="N87" s="18">
        <f t="shared" si="6"/>
        <v>0</v>
      </c>
      <c r="O87" s="209">
        <f>G87/H87</f>
        <v>1.6129032258064517</v>
      </c>
      <c r="P87" s="81">
        <f>O87*(I87+J87)*8</f>
        <v>129.03225806451613</v>
      </c>
      <c r="Q87" s="306">
        <f t="shared" si="7"/>
        <v>129.03225806451613</v>
      </c>
    </row>
    <row r="88" spans="1:17" x14ac:dyDescent="0.2">
      <c r="A88" s="328" t="s">
        <v>426</v>
      </c>
      <c r="B88" s="212" t="s">
        <v>491</v>
      </c>
      <c r="C88" s="207">
        <v>140</v>
      </c>
      <c r="D88" s="207" t="s">
        <v>266</v>
      </c>
      <c r="E88" s="207" t="s">
        <v>272</v>
      </c>
      <c r="F88" s="207" t="s">
        <v>308</v>
      </c>
      <c r="G88" s="207">
        <v>1</v>
      </c>
      <c r="H88" s="330">
        <v>0.62</v>
      </c>
      <c r="I88" s="209"/>
      <c r="J88" s="209">
        <v>10</v>
      </c>
      <c r="K88" s="13"/>
      <c r="L88" s="13"/>
      <c r="M88" s="13"/>
      <c r="N88" s="18">
        <f t="shared" si="6"/>
        <v>0</v>
      </c>
      <c r="O88" s="209">
        <f>G88/H88</f>
        <v>1.6129032258064517</v>
      </c>
      <c r="P88" s="81">
        <f>O88*(I88+J88)*8</f>
        <v>129.03225806451613</v>
      </c>
      <c r="Q88" s="306">
        <f t="shared" si="7"/>
        <v>129.03225806451613</v>
      </c>
    </row>
    <row r="89" spans="1:17" x14ac:dyDescent="0.2">
      <c r="A89" s="328" t="s">
        <v>427</v>
      </c>
      <c r="B89" s="838" t="s">
        <v>494</v>
      </c>
      <c r="C89" s="213">
        <v>141</v>
      </c>
      <c r="D89" s="213" t="s">
        <v>266</v>
      </c>
      <c r="E89" s="213" t="s">
        <v>268</v>
      </c>
      <c r="F89" s="213" t="s">
        <v>308</v>
      </c>
      <c r="G89" s="213">
        <v>1</v>
      </c>
      <c r="H89" s="330">
        <v>0.17</v>
      </c>
      <c r="I89" s="219"/>
      <c r="J89" s="219">
        <v>10</v>
      </c>
      <c r="K89" s="14" t="s">
        <v>599</v>
      </c>
      <c r="L89" s="14">
        <v>1.5</v>
      </c>
      <c r="M89" s="105">
        <v>432.94</v>
      </c>
      <c r="N89" s="104">
        <f t="shared" si="6"/>
        <v>649.41</v>
      </c>
      <c r="O89" s="219">
        <f>G89/H89</f>
        <v>5.8823529411764701</v>
      </c>
      <c r="P89" s="299">
        <f>O89*(I89+J89)*8</f>
        <v>470.58823529411762</v>
      </c>
      <c r="Q89" s="357">
        <f t="shared" si="7"/>
        <v>1119.9982352941176</v>
      </c>
    </row>
    <row r="90" spans="1:17" x14ac:dyDescent="0.2">
      <c r="A90" s="328" t="s">
        <v>428</v>
      </c>
      <c r="B90" s="212" t="s">
        <v>493</v>
      </c>
      <c r="C90" s="207">
        <v>141</v>
      </c>
      <c r="D90" s="207" t="s">
        <v>266</v>
      </c>
      <c r="E90" s="207" t="s">
        <v>268</v>
      </c>
      <c r="F90" s="207" t="s">
        <v>308</v>
      </c>
      <c r="G90" s="207">
        <v>1</v>
      </c>
      <c r="H90" s="329">
        <v>0.17</v>
      </c>
      <c r="I90" s="209"/>
      <c r="J90" s="209">
        <v>10</v>
      </c>
      <c r="K90" s="13" t="s">
        <v>515</v>
      </c>
      <c r="L90" s="13">
        <v>0.25</v>
      </c>
      <c r="M90" s="102">
        <f>'PRECIOS INSUMOS 2015'!E$193</f>
        <v>1500</v>
      </c>
      <c r="N90" s="18">
        <f t="shared" si="6"/>
        <v>375</v>
      </c>
      <c r="O90" s="209">
        <f>G90/H90</f>
        <v>5.8823529411764701</v>
      </c>
      <c r="P90" s="81">
        <f>O90*(I90+J90)*8</f>
        <v>470.58823529411762</v>
      </c>
      <c r="Q90" s="209">
        <f t="shared" si="7"/>
        <v>845.58823529411757</v>
      </c>
    </row>
    <row r="91" spans="1:17" x14ac:dyDescent="0.2">
      <c r="A91" s="328" t="s">
        <v>429</v>
      </c>
      <c r="B91" s="380" t="s">
        <v>598</v>
      </c>
      <c r="C91" s="304">
        <v>144</v>
      </c>
      <c r="D91" s="304" t="s">
        <v>257</v>
      </c>
      <c r="E91" s="303" t="s">
        <v>476</v>
      </c>
      <c r="F91" s="304" t="s">
        <v>308</v>
      </c>
      <c r="G91" s="304">
        <v>1</v>
      </c>
      <c r="H91" s="330">
        <v>1.7</v>
      </c>
      <c r="I91" s="306">
        <v>10</v>
      </c>
      <c r="J91" s="306"/>
      <c r="K91" s="47" t="s">
        <v>234</v>
      </c>
      <c r="L91" s="47">
        <f>0.86*2</f>
        <v>1.72</v>
      </c>
      <c r="M91" s="47">
        <f>'PRECIOS INSUMOS 2015'!C$5</f>
        <v>2</v>
      </c>
      <c r="N91" s="57">
        <f t="shared" si="6"/>
        <v>3.44</v>
      </c>
      <c r="O91" s="306">
        <f>G91/H91</f>
        <v>0.58823529411764708</v>
      </c>
      <c r="P91" s="308">
        <f>O91*(I91+J91)*8</f>
        <v>47.058823529411768</v>
      </c>
      <c r="Q91" s="306">
        <f t="shared" si="7"/>
        <v>50.498823529411766</v>
      </c>
    </row>
    <row r="92" spans="1:17" x14ac:dyDescent="0.2">
      <c r="A92" s="328" t="s">
        <v>430</v>
      </c>
      <c r="B92" s="95" t="s">
        <v>263</v>
      </c>
      <c r="C92" s="1">
        <v>144</v>
      </c>
      <c r="D92" s="1" t="s">
        <v>257</v>
      </c>
      <c r="E92" s="12" t="s">
        <v>476</v>
      </c>
      <c r="F92" s="1" t="s">
        <v>308</v>
      </c>
      <c r="G92" s="1">
        <v>1</v>
      </c>
      <c r="H92" s="224"/>
      <c r="I92" s="18"/>
      <c r="J92" s="68"/>
      <c r="K92" s="13" t="s">
        <v>1367</v>
      </c>
      <c r="L92" s="13">
        <v>0.35</v>
      </c>
      <c r="M92" s="13">
        <v>18</v>
      </c>
      <c r="N92" s="18">
        <f t="shared" si="6"/>
        <v>6.3</v>
      </c>
      <c r="O92" s="18"/>
      <c r="P92" s="81"/>
      <c r="Q92" s="57">
        <f t="shared" si="7"/>
        <v>6.3</v>
      </c>
    </row>
    <row r="93" spans="1:17" x14ac:dyDescent="0.2">
      <c r="A93" s="328" t="s">
        <v>433</v>
      </c>
      <c r="B93" s="212" t="s">
        <v>598</v>
      </c>
      <c r="C93" s="207">
        <v>151</v>
      </c>
      <c r="D93" s="207" t="s">
        <v>257</v>
      </c>
      <c r="E93" s="254" t="s">
        <v>476</v>
      </c>
      <c r="F93" s="207" t="s">
        <v>308</v>
      </c>
      <c r="G93" s="207">
        <v>1</v>
      </c>
      <c r="H93" s="330">
        <v>1.7</v>
      </c>
      <c r="I93" s="209">
        <v>10</v>
      </c>
      <c r="J93" s="209"/>
      <c r="K93" s="13" t="s">
        <v>234</v>
      </c>
      <c r="L93" s="13">
        <f>0.86*2</f>
        <v>1.72</v>
      </c>
      <c r="M93" s="13">
        <f>'PRECIOS INSUMOS 2015'!C$5</f>
        <v>2</v>
      </c>
      <c r="N93" s="18">
        <f t="shared" si="6"/>
        <v>3.44</v>
      </c>
      <c r="O93" s="209">
        <f>G93/H93</f>
        <v>0.58823529411764708</v>
      </c>
      <c r="P93" s="81">
        <f>O93*(I93+J93)*8</f>
        <v>47.058823529411768</v>
      </c>
      <c r="Q93" s="306">
        <f t="shared" si="7"/>
        <v>50.498823529411766</v>
      </c>
    </row>
    <row r="94" spans="1:17" x14ac:dyDescent="0.2">
      <c r="A94" s="328" t="s">
        <v>434</v>
      </c>
      <c r="B94" s="95" t="s">
        <v>263</v>
      </c>
      <c r="C94" s="1">
        <v>151</v>
      </c>
      <c r="D94" s="1" t="s">
        <v>257</v>
      </c>
      <c r="E94" s="12" t="s">
        <v>476</v>
      </c>
      <c r="F94" s="1" t="s">
        <v>308</v>
      </c>
      <c r="G94" s="1">
        <v>1</v>
      </c>
      <c r="H94" s="224"/>
      <c r="I94" s="18"/>
      <c r="J94" s="68"/>
      <c r="K94" s="13" t="s">
        <v>1367</v>
      </c>
      <c r="L94" s="13">
        <v>0.35</v>
      </c>
      <c r="M94" s="13">
        <v>18</v>
      </c>
      <c r="N94" s="18">
        <f t="shared" si="6"/>
        <v>6.3</v>
      </c>
      <c r="O94" s="18"/>
      <c r="P94" s="81"/>
      <c r="Q94" s="57">
        <f t="shared" si="7"/>
        <v>6.3</v>
      </c>
    </row>
    <row r="95" spans="1:17" x14ac:dyDescent="0.2">
      <c r="A95" s="328" t="s">
        <v>435</v>
      </c>
      <c r="B95" s="212" t="s">
        <v>598</v>
      </c>
      <c r="C95" s="207">
        <v>158</v>
      </c>
      <c r="D95" s="207" t="s">
        <v>257</v>
      </c>
      <c r="E95" s="254" t="s">
        <v>476</v>
      </c>
      <c r="F95" s="207" t="s">
        <v>308</v>
      </c>
      <c r="G95" s="207">
        <v>1</v>
      </c>
      <c r="H95" s="330">
        <v>1.7</v>
      </c>
      <c r="I95" s="209">
        <v>10</v>
      </c>
      <c r="J95" s="209"/>
      <c r="K95" s="13" t="s">
        <v>234</v>
      </c>
      <c r="L95" s="13">
        <f>0.86*2</f>
        <v>1.72</v>
      </c>
      <c r="M95" s="13">
        <f>'PRECIOS INSUMOS 2015'!C$5</f>
        <v>2</v>
      </c>
      <c r="N95" s="18">
        <f t="shared" si="6"/>
        <v>3.44</v>
      </c>
      <c r="O95" s="209">
        <f>G95/H95</f>
        <v>0.58823529411764708</v>
      </c>
      <c r="P95" s="81">
        <f>O95*(I95+J95)*8</f>
        <v>47.058823529411768</v>
      </c>
      <c r="Q95" s="306">
        <f t="shared" si="7"/>
        <v>50.498823529411766</v>
      </c>
    </row>
    <row r="96" spans="1:17" x14ac:dyDescent="0.2">
      <c r="A96" s="328" t="s">
        <v>529</v>
      </c>
      <c r="B96" s="95" t="s">
        <v>263</v>
      </c>
      <c r="C96" s="1">
        <v>158</v>
      </c>
      <c r="D96" s="1" t="s">
        <v>257</v>
      </c>
      <c r="E96" s="12" t="s">
        <v>476</v>
      </c>
      <c r="F96" s="1" t="s">
        <v>308</v>
      </c>
      <c r="G96" s="1">
        <v>1</v>
      </c>
      <c r="H96" s="224"/>
      <c r="I96" s="18"/>
      <c r="J96" s="68"/>
      <c r="K96" s="13" t="s">
        <v>1367</v>
      </c>
      <c r="L96" s="13">
        <v>0.35</v>
      </c>
      <c r="M96" s="13">
        <v>18</v>
      </c>
      <c r="N96" s="18">
        <f t="shared" si="6"/>
        <v>6.3</v>
      </c>
      <c r="O96" s="18"/>
      <c r="P96" s="81"/>
      <c r="Q96" s="57">
        <f t="shared" si="7"/>
        <v>6.3</v>
      </c>
    </row>
    <row r="97" spans="1:17" x14ac:dyDescent="0.2">
      <c r="A97" s="328" t="s">
        <v>530</v>
      </c>
      <c r="B97" s="212" t="s">
        <v>273</v>
      </c>
      <c r="C97" s="207">
        <v>160</v>
      </c>
      <c r="D97" s="207" t="s">
        <v>266</v>
      </c>
      <c r="E97" s="207" t="s">
        <v>272</v>
      </c>
      <c r="F97" s="207" t="s">
        <v>308</v>
      </c>
      <c r="G97" s="207">
        <v>1</v>
      </c>
      <c r="H97" s="330">
        <v>0.62</v>
      </c>
      <c r="I97" s="209"/>
      <c r="J97" s="209">
        <v>10</v>
      </c>
      <c r="K97" s="13"/>
      <c r="L97" s="13"/>
      <c r="M97" s="13"/>
      <c r="N97" s="18">
        <f t="shared" si="6"/>
        <v>0</v>
      </c>
      <c r="O97" s="209">
        <f>G97/H97</f>
        <v>1.6129032258064517</v>
      </c>
      <c r="P97" s="81">
        <f>O97*(I97+J97)*8</f>
        <v>129.03225806451613</v>
      </c>
      <c r="Q97" s="306">
        <f t="shared" si="7"/>
        <v>129.03225806451613</v>
      </c>
    </row>
    <row r="98" spans="1:17" x14ac:dyDescent="0.2">
      <c r="A98" s="328" t="s">
        <v>531</v>
      </c>
      <c r="B98" s="212" t="s">
        <v>491</v>
      </c>
      <c r="C98" s="207">
        <v>160</v>
      </c>
      <c r="D98" s="207" t="s">
        <v>266</v>
      </c>
      <c r="E98" s="207" t="s">
        <v>272</v>
      </c>
      <c r="F98" s="207" t="s">
        <v>308</v>
      </c>
      <c r="G98" s="207">
        <v>1</v>
      </c>
      <c r="H98" s="330">
        <v>0.62</v>
      </c>
      <c r="I98" s="209"/>
      <c r="J98" s="209">
        <v>10</v>
      </c>
      <c r="K98" s="13"/>
      <c r="L98" s="13"/>
      <c r="M98" s="13"/>
      <c r="N98" s="18">
        <f t="shared" si="6"/>
        <v>0</v>
      </c>
      <c r="O98" s="209">
        <f>G98/H98</f>
        <v>1.6129032258064517</v>
      </c>
      <c r="P98" s="81">
        <f>O98*(I98+J98)*8</f>
        <v>129.03225806451613</v>
      </c>
      <c r="Q98" s="306">
        <f t="shared" si="7"/>
        <v>129.03225806451613</v>
      </c>
    </row>
    <row r="99" spans="1:17" x14ac:dyDescent="0.2">
      <c r="A99" s="328" t="s">
        <v>532</v>
      </c>
      <c r="B99" s="212" t="s">
        <v>496</v>
      </c>
      <c r="C99" s="207">
        <v>162</v>
      </c>
      <c r="D99" s="207" t="s">
        <v>266</v>
      </c>
      <c r="E99" s="207" t="s">
        <v>267</v>
      </c>
      <c r="F99" s="207" t="s">
        <v>308</v>
      </c>
      <c r="G99" s="207">
        <v>1</v>
      </c>
      <c r="H99" s="330">
        <v>0.5</v>
      </c>
      <c r="I99" s="209"/>
      <c r="J99" s="209">
        <v>10</v>
      </c>
      <c r="K99" s="13" t="s">
        <v>511</v>
      </c>
      <c r="L99" s="13">
        <v>2</v>
      </c>
      <c r="M99" s="13">
        <v>9.9700000000000006</v>
      </c>
      <c r="N99" s="18">
        <f t="shared" si="6"/>
        <v>19.940000000000001</v>
      </c>
      <c r="O99" s="209">
        <f>G99/H99</f>
        <v>2</v>
      </c>
      <c r="P99" s="81">
        <f>O99*(I99+J99)*8</f>
        <v>160</v>
      </c>
      <c r="Q99" s="306">
        <f t="shared" si="7"/>
        <v>179.94</v>
      </c>
    </row>
    <row r="100" spans="1:17" x14ac:dyDescent="0.2">
      <c r="A100" s="328" t="s">
        <v>516</v>
      </c>
      <c r="B100" s="212" t="s">
        <v>598</v>
      </c>
      <c r="C100" s="207">
        <v>165</v>
      </c>
      <c r="D100" s="207" t="s">
        <v>257</v>
      </c>
      <c r="E100" s="254" t="s">
        <v>476</v>
      </c>
      <c r="F100" s="207" t="s">
        <v>308</v>
      </c>
      <c r="G100" s="207">
        <v>1</v>
      </c>
      <c r="H100" s="330">
        <v>1.7</v>
      </c>
      <c r="I100" s="209">
        <v>10</v>
      </c>
      <c r="J100" s="209"/>
      <c r="K100" s="13" t="s">
        <v>234</v>
      </c>
      <c r="L100" s="13">
        <f>0.86*2</f>
        <v>1.72</v>
      </c>
      <c r="M100" s="13">
        <f>'PRECIOS INSUMOS 2015'!C$5</f>
        <v>2</v>
      </c>
      <c r="N100" s="18">
        <f t="shared" si="6"/>
        <v>3.44</v>
      </c>
      <c r="O100" s="209">
        <f>G100/H100</f>
        <v>0.58823529411764708</v>
      </c>
      <c r="P100" s="81">
        <f>O100*(I100+J100)*8</f>
        <v>47.058823529411768</v>
      </c>
      <c r="Q100" s="306">
        <f t="shared" si="7"/>
        <v>50.498823529411766</v>
      </c>
    </row>
    <row r="101" spans="1:17" x14ac:dyDescent="0.2">
      <c r="A101" s="328" t="s">
        <v>533</v>
      </c>
      <c r="B101" s="95" t="s">
        <v>263</v>
      </c>
      <c r="C101" s="1">
        <v>165</v>
      </c>
      <c r="D101" s="1" t="s">
        <v>257</v>
      </c>
      <c r="E101" s="12" t="s">
        <v>476</v>
      </c>
      <c r="F101" s="1" t="s">
        <v>308</v>
      </c>
      <c r="G101" s="1">
        <v>1</v>
      </c>
      <c r="H101" s="224"/>
      <c r="I101" s="18"/>
      <c r="J101" s="68"/>
      <c r="K101" s="13" t="s">
        <v>1367</v>
      </c>
      <c r="L101" s="13">
        <v>0.35</v>
      </c>
      <c r="M101" s="13">
        <v>18</v>
      </c>
      <c r="N101" s="18">
        <f t="shared" si="6"/>
        <v>6.3</v>
      </c>
      <c r="O101" s="18"/>
      <c r="P101" s="81"/>
      <c r="Q101" s="57">
        <f t="shared" si="7"/>
        <v>6.3</v>
      </c>
    </row>
    <row r="102" spans="1:17" x14ac:dyDescent="0.2">
      <c r="A102" s="328" t="s">
        <v>497</v>
      </c>
      <c r="B102" s="212" t="s">
        <v>598</v>
      </c>
      <c r="C102" s="207">
        <v>172</v>
      </c>
      <c r="D102" s="207" t="s">
        <v>257</v>
      </c>
      <c r="E102" s="254" t="s">
        <v>476</v>
      </c>
      <c r="F102" s="207" t="s">
        <v>308</v>
      </c>
      <c r="G102" s="207">
        <v>1</v>
      </c>
      <c r="H102" s="330">
        <v>1.7</v>
      </c>
      <c r="I102" s="209">
        <v>10</v>
      </c>
      <c r="J102" s="209"/>
      <c r="K102" s="13" t="s">
        <v>234</v>
      </c>
      <c r="L102" s="13">
        <f>0.86*2</f>
        <v>1.72</v>
      </c>
      <c r="M102" s="13">
        <f>'PRECIOS INSUMOS 2015'!C$5</f>
        <v>2</v>
      </c>
      <c r="N102" s="18">
        <f t="shared" si="6"/>
        <v>3.44</v>
      </c>
      <c r="O102" s="209">
        <f>G102/H102</f>
        <v>0.58823529411764708</v>
      </c>
      <c r="P102" s="81">
        <f>O102*(I102+J102)*8</f>
        <v>47.058823529411768</v>
      </c>
      <c r="Q102" s="306">
        <f t="shared" si="7"/>
        <v>50.498823529411766</v>
      </c>
    </row>
    <row r="103" spans="1:17" x14ac:dyDescent="0.2">
      <c r="A103" s="328" t="s">
        <v>517</v>
      </c>
      <c r="B103" s="95" t="s">
        <v>263</v>
      </c>
      <c r="C103" s="1">
        <v>172</v>
      </c>
      <c r="D103" s="1" t="s">
        <v>257</v>
      </c>
      <c r="E103" s="12" t="s">
        <v>476</v>
      </c>
      <c r="F103" s="1" t="s">
        <v>308</v>
      </c>
      <c r="G103" s="1">
        <v>1</v>
      </c>
      <c r="H103" s="224"/>
      <c r="I103" s="18"/>
      <c r="J103" s="337"/>
      <c r="K103" s="13" t="s">
        <v>1367</v>
      </c>
      <c r="L103" s="13">
        <v>0.35</v>
      </c>
      <c r="M103" s="13">
        <v>18</v>
      </c>
      <c r="N103" s="326">
        <f t="shared" si="6"/>
        <v>6.3</v>
      </c>
      <c r="O103" s="18"/>
      <c r="P103" s="81"/>
      <c r="Q103" s="57">
        <f t="shared" si="7"/>
        <v>6.3</v>
      </c>
    </row>
    <row r="104" spans="1:17" x14ac:dyDescent="0.2">
      <c r="A104" s="328" t="s">
        <v>534</v>
      </c>
      <c r="B104" s="212" t="s">
        <v>598</v>
      </c>
      <c r="C104" s="207">
        <v>179</v>
      </c>
      <c r="D104" s="207" t="s">
        <v>257</v>
      </c>
      <c r="E104" s="254" t="s">
        <v>476</v>
      </c>
      <c r="F104" s="207" t="s">
        <v>308</v>
      </c>
      <c r="G104" s="207">
        <v>1</v>
      </c>
      <c r="H104" s="330">
        <v>1.7</v>
      </c>
      <c r="I104" s="209">
        <v>10</v>
      </c>
      <c r="J104" s="209"/>
      <c r="K104" s="13" t="s">
        <v>234</v>
      </c>
      <c r="L104" s="13">
        <f>0.86*2</f>
        <v>1.72</v>
      </c>
      <c r="M104" s="13">
        <f>'PRECIOS INSUMOS 2015'!C$5</f>
        <v>2</v>
      </c>
      <c r="N104" s="18">
        <f t="shared" si="6"/>
        <v>3.44</v>
      </c>
      <c r="O104" s="209">
        <f>G104/H104</f>
        <v>0.58823529411764708</v>
      </c>
      <c r="P104" s="81">
        <f>O104*(I104+J104)*8</f>
        <v>47.058823529411768</v>
      </c>
      <c r="Q104" s="306">
        <f t="shared" si="7"/>
        <v>50.498823529411766</v>
      </c>
    </row>
    <row r="105" spans="1:17" x14ac:dyDescent="0.2">
      <c r="A105" s="328" t="s">
        <v>498</v>
      </c>
      <c r="B105" s="839" t="s">
        <v>263</v>
      </c>
      <c r="C105" s="313">
        <v>179</v>
      </c>
      <c r="D105" s="313" t="s">
        <v>257</v>
      </c>
      <c r="E105" s="312" t="s">
        <v>476</v>
      </c>
      <c r="F105" s="313" t="s">
        <v>308</v>
      </c>
      <c r="G105" s="313">
        <v>1</v>
      </c>
      <c r="H105" s="338"/>
      <c r="I105" s="104"/>
      <c r="J105" s="840"/>
      <c r="K105" s="14" t="s">
        <v>1367</v>
      </c>
      <c r="L105" s="14">
        <v>0.35</v>
      </c>
      <c r="M105" s="14">
        <v>18</v>
      </c>
      <c r="N105" s="104">
        <f t="shared" si="6"/>
        <v>6.3</v>
      </c>
      <c r="O105" s="104"/>
      <c r="P105" s="299"/>
      <c r="Q105" s="841">
        <f t="shared" si="7"/>
        <v>6.3</v>
      </c>
    </row>
    <row r="106" spans="1:17" x14ac:dyDescent="0.2">
      <c r="A106" s="328" t="s">
        <v>535</v>
      </c>
      <c r="B106" s="212" t="s">
        <v>493</v>
      </c>
      <c r="C106" s="207">
        <v>181</v>
      </c>
      <c r="D106" s="207" t="s">
        <v>266</v>
      </c>
      <c r="E106" s="207" t="s">
        <v>268</v>
      </c>
      <c r="F106" s="207" t="s">
        <v>308</v>
      </c>
      <c r="G106" s="207">
        <v>1</v>
      </c>
      <c r="H106" s="329">
        <v>0.17</v>
      </c>
      <c r="I106" s="209"/>
      <c r="J106" s="209">
        <v>10</v>
      </c>
      <c r="K106" s="13" t="s">
        <v>515</v>
      </c>
      <c r="L106" s="13">
        <v>0.25</v>
      </c>
      <c r="M106" s="102">
        <f>'PRECIOS INSUMOS 2015'!E$193</f>
        <v>1500</v>
      </c>
      <c r="N106" s="18">
        <f t="shared" si="6"/>
        <v>375</v>
      </c>
      <c r="O106" s="209">
        <f>G106/H106</f>
        <v>5.8823529411764701</v>
      </c>
      <c r="P106" s="81">
        <f>O106*(I106+J106)*8</f>
        <v>470.58823529411762</v>
      </c>
      <c r="Q106" s="209">
        <f t="shared" si="7"/>
        <v>845.58823529411757</v>
      </c>
    </row>
    <row r="107" spans="1:17" x14ac:dyDescent="0.2">
      <c r="A107" s="328" t="s">
        <v>536</v>
      </c>
      <c r="B107" s="380" t="s">
        <v>598</v>
      </c>
      <c r="C107" s="304">
        <v>186</v>
      </c>
      <c r="D107" s="304" t="s">
        <v>257</v>
      </c>
      <c r="E107" s="303" t="s">
        <v>476</v>
      </c>
      <c r="F107" s="304" t="s">
        <v>308</v>
      </c>
      <c r="G107" s="304">
        <v>1</v>
      </c>
      <c r="H107" s="330">
        <v>1.7</v>
      </c>
      <c r="I107" s="306">
        <v>10</v>
      </c>
      <c r="J107" s="306"/>
      <c r="K107" s="47" t="s">
        <v>234</v>
      </c>
      <c r="L107" s="47">
        <f>0.86*2</f>
        <v>1.72</v>
      </c>
      <c r="M107" s="47">
        <f>'PRECIOS INSUMOS 2015'!C$5</f>
        <v>2</v>
      </c>
      <c r="N107" s="57">
        <f t="shared" si="6"/>
        <v>3.44</v>
      </c>
      <c r="O107" s="306">
        <f>G107/H107</f>
        <v>0.58823529411764708</v>
      </c>
      <c r="P107" s="308">
        <f>O107*(I107+J107)*8</f>
        <v>47.058823529411768</v>
      </c>
      <c r="Q107" s="306">
        <f t="shared" si="7"/>
        <v>50.498823529411766</v>
      </c>
    </row>
    <row r="108" spans="1:17" x14ac:dyDescent="0.2">
      <c r="A108" s="328" t="s">
        <v>518</v>
      </c>
      <c r="B108" s="95" t="s">
        <v>263</v>
      </c>
      <c r="C108" s="1">
        <v>186</v>
      </c>
      <c r="D108" s="1" t="s">
        <v>257</v>
      </c>
      <c r="E108" s="12" t="s">
        <v>476</v>
      </c>
      <c r="F108" s="1" t="s">
        <v>308</v>
      </c>
      <c r="G108" s="1">
        <v>1</v>
      </c>
      <c r="H108" s="224"/>
      <c r="I108" s="18"/>
      <c r="J108" s="68"/>
      <c r="K108" s="13" t="s">
        <v>1367</v>
      </c>
      <c r="L108" s="13">
        <v>0.35</v>
      </c>
      <c r="M108" s="13">
        <v>18</v>
      </c>
      <c r="N108" s="18">
        <f t="shared" si="6"/>
        <v>6.3</v>
      </c>
      <c r="O108" s="18"/>
      <c r="P108" s="81"/>
      <c r="Q108" s="57">
        <f t="shared" si="7"/>
        <v>6.3</v>
      </c>
    </row>
    <row r="109" spans="1:17" x14ac:dyDescent="0.2">
      <c r="A109" s="328" t="s">
        <v>537</v>
      </c>
      <c r="B109" s="212" t="s">
        <v>273</v>
      </c>
      <c r="C109" s="207">
        <v>188</v>
      </c>
      <c r="D109" s="207" t="s">
        <v>266</v>
      </c>
      <c r="E109" s="207" t="s">
        <v>272</v>
      </c>
      <c r="F109" s="207" t="s">
        <v>308</v>
      </c>
      <c r="G109" s="207">
        <v>1</v>
      </c>
      <c r="H109" s="330">
        <v>0.62</v>
      </c>
      <c r="I109" s="209"/>
      <c r="J109" s="209">
        <v>10</v>
      </c>
      <c r="K109" s="13"/>
      <c r="L109" s="13"/>
      <c r="M109" s="13"/>
      <c r="N109" s="18">
        <f t="shared" si="6"/>
        <v>0</v>
      </c>
      <c r="O109" s="209">
        <f>G109/H109</f>
        <v>1.6129032258064517</v>
      </c>
      <c r="P109" s="81">
        <f>O109*(I109+J109)*8</f>
        <v>129.03225806451613</v>
      </c>
      <c r="Q109" s="306">
        <f t="shared" si="7"/>
        <v>129.03225806451613</v>
      </c>
    </row>
    <row r="110" spans="1:17" x14ac:dyDescent="0.2">
      <c r="A110" s="328" t="s">
        <v>499</v>
      </c>
      <c r="B110" s="212" t="s">
        <v>491</v>
      </c>
      <c r="C110" s="207">
        <v>188</v>
      </c>
      <c r="D110" s="207" t="s">
        <v>266</v>
      </c>
      <c r="E110" s="207" t="s">
        <v>272</v>
      </c>
      <c r="F110" s="207" t="s">
        <v>308</v>
      </c>
      <c r="G110" s="207">
        <v>1</v>
      </c>
      <c r="H110" s="330">
        <v>0.62</v>
      </c>
      <c r="I110" s="209"/>
      <c r="J110" s="209">
        <v>10</v>
      </c>
      <c r="K110" s="13"/>
      <c r="L110" s="13"/>
      <c r="M110" s="13"/>
      <c r="N110" s="18">
        <f t="shared" si="6"/>
        <v>0</v>
      </c>
      <c r="O110" s="209">
        <f>G110/H110</f>
        <v>1.6129032258064517</v>
      </c>
      <c r="P110" s="81">
        <f>O110*(I110+J110)*8</f>
        <v>129.03225806451613</v>
      </c>
      <c r="Q110" s="306">
        <f t="shared" si="7"/>
        <v>129.03225806451613</v>
      </c>
    </row>
    <row r="111" spans="1:17" x14ac:dyDescent="0.2">
      <c r="A111" s="328" t="s">
        <v>519</v>
      </c>
      <c r="B111" s="212" t="s">
        <v>598</v>
      </c>
      <c r="C111" s="207">
        <v>193</v>
      </c>
      <c r="D111" s="207" t="s">
        <v>257</v>
      </c>
      <c r="E111" s="254" t="s">
        <v>476</v>
      </c>
      <c r="F111" s="207" t="s">
        <v>308</v>
      </c>
      <c r="G111" s="207">
        <v>1</v>
      </c>
      <c r="H111" s="330">
        <v>1.7</v>
      </c>
      <c r="I111" s="209">
        <v>10</v>
      </c>
      <c r="J111" s="209"/>
      <c r="K111" s="13" t="s">
        <v>234</v>
      </c>
      <c r="L111" s="13">
        <f>0.86*2</f>
        <v>1.72</v>
      </c>
      <c r="M111" s="13">
        <f>'PRECIOS INSUMOS 2015'!C$5</f>
        <v>2</v>
      </c>
      <c r="N111" s="18">
        <f t="shared" si="6"/>
        <v>3.44</v>
      </c>
      <c r="O111" s="209">
        <f>G111/H111</f>
        <v>0.58823529411764708</v>
      </c>
      <c r="P111" s="81">
        <f>O111*(I111+J111)*8</f>
        <v>47.058823529411768</v>
      </c>
      <c r="Q111" s="306">
        <f t="shared" si="7"/>
        <v>50.498823529411766</v>
      </c>
    </row>
    <row r="112" spans="1:17" x14ac:dyDescent="0.2">
      <c r="A112" s="328" t="s">
        <v>500</v>
      </c>
      <c r="B112" s="95" t="s">
        <v>263</v>
      </c>
      <c r="C112" s="1">
        <v>193</v>
      </c>
      <c r="D112" s="1" t="s">
        <v>257</v>
      </c>
      <c r="E112" s="12" t="s">
        <v>476</v>
      </c>
      <c r="F112" s="1" t="s">
        <v>308</v>
      </c>
      <c r="G112" s="1">
        <v>1</v>
      </c>
      <c r="H112" s="224"/>
      <c r="I112" s="18"/>
      <c r="J112" s="68"/>
      <c r="K112" s="13" t="s">
        <v>1367</v>
      </c>
      <c r="L112" s="13">
        <v>0.35</v>
      </c>
      <c r="M112" s="13">
        <v>18</v>
      </c>
      <c r="N112" s="18">
        <f t="shared" si="6"/>
        <v>6.3</v>
      </c>
      <c r="O112" s="18"/>
      <c r="P112" s="81"/>
      <c r="Q112" s="57">
        <f t="shared" si="7"/>
        <v>6.3</v>
      </c>
    </row>
    <row r="113" spans="1:17" x14ac:dyDescent="0.2">
      <c r="A113" s="328" t="s">
        <v>501</v>
      </c>
      <c r="B113" s="212" t="s">
        <v>496</v>
      </c>
      <c r="C113" s="207">
        <v>195</v>
      </c>
      <c r="D113" s="207" t="s">
        <v>266</v>
      </c>
      <c r="E113" s="207" t="s">
        <v>267</v>
      </c>
      <c r="F113" s="207" t="s">
        <v>308</v>
      </c>
      <c r="G113" s="207">
        <v>1</v>
      </c>
      <c r="H113" s="330">
        <v>0.5</v>
      </c>
      <c r="I113" s="209"/>
      <c r="J113" s="209">
        <v>10</v>
      </c>
      <c r="K113" s="13" t="s">
        <v>511</v>
      </c>
      <c r="L113" s="13">
        <v>2</v>
      </c>
      <c r="M113" s="13">
        <v>9.9700000000000006</v>
      </c>
      <c r="N113" s="18">
        <f t="shared" si="6"/>
        <v>19.940000000000001</v>
      </c>
      <c r="O113" s="209">
        <f>G113/H113</f>
        <v>2</v>
      </c>
      <c r="P113" s="81">
        <f>O113*(I113+J113)*8</f>
        <v>160</v>
      </c>
      <c r="Q113" s="306">
        <f t="shared" si="7"/>
        <v>179.94</v>
      </c>
    </row>
    <row r="114" spans="1:17" x14ac:dyDescent="0.2">
      <c r="A114" s="328" t="s">
        <v>502</v>
      </c>
      <c r="B114" s="212" t="s">
        <v>598</v>
      </c>
      <c r="C114" s="207">
        <v>200</v>
      </c>
      <c r="D114" s="207" t="s">
        <v>257</v>
      </c>
      <c r="E114" s="254" t="s">
        <v>476</v>
      </c>
      <c r="F114" s="207" t="s">
        <v>308</v>
      </c>
      <c r="G114" s="207">
        <v>1</v>
      </c>
      <c r="H114" s="330">
        <v>1.7</v>
      </c>
      <c r="I114" s="209">
        <v>10</v>
      </c>
      <c r="J114" s="209"/>
      <c r="K114" s="13" t="s">
        <v>234</v>
      </c>
      <c r="L114" s="13">
        <f>0.86*2</f>
        <v>1.72</v>
      </c>
      <c r="M114" s="13">
        <f>'PRECIOS INSUMOS 2015'!C$5</f>
        <v>2</v>
      </c>
      <c r="N114" s="18">
        <f t="shared" si="6"/>
        <v>3.44</v>
      </c>
      <c r="O114" s="209">
        <f>G114/H114</f>
        <v>0.58823529411764708</v>
      </c>
      <c r="P114" s="81">
        <f>O114*(I114+J114)*8</f>
        <v>47.058823529411768</v>
      </c>
      <c r="Q114" s="306">
        <f t="shared" si="7"/>
        <v>50.498823529411766</v>
      </c>
    </row>
    <row r="115" spans="1:17" x14ac:dyDescent="0.2">
      <c r="A115" s="328" t="s">
        <v>503</v>
      </c>
      <c r="B115" s="95" t="s">
        <v>263</v>
      </c>
      <c r="C115" s="1">
        <v>200</v>
      </c>
      <c r="D115" s="1" t="s">
        <v>257</v>
      </c>
      <c r="E115" s="12" t="s">
        <v>476</v>
      </c>
      <c r="F115" s="1" t="s">
        <v>308</v>
      </c>
      <c r="G115" s="1">
        <v>1</v>
      </c>
      <c r="H115" s="224"/>
      <c r="I115" s="18"/>
      <c r="J115" s="68"/>
      <c r="K115" s="13" t="s">
        <v>1367</v>
      </c>
      <c r="L115" s="13">
        <v>0.35</v>
      </c>
      <c r="M115" s="13">
        <v>18</v>
      </c>
      <c r="N115" s="18">
        <f t="shared" si="6"/>
        <v>6.3</v>
      </c>
      <c r="O115" s="18"/>
      <c r="P115" s="81"/>
      <c r="Q115" s="57">
        <f t="shared" si="7"/>
        <v>6.3</v>
      </c>
    </row>
    <row r="116" spans="1:17" x14ac:dyDescent="0.2">
      <c r="A116" s="328" t="s">
        <v>520</v>
      </c>
      <c r="B116" s="212" t="s">
        <v>598</v>
      </c>
      <c r="C116" s="207">
        <v>207</v>
      </c>
      <c r="D116" s="207" t="s">
        <v>257</v>
      </c>
      <c r="E116" s="254" t="s">
        <v>476</v>
      </c>
      <c r="F116" s="207" t="s">
        <v>308</v>
      </c>
      <c r="G116" s="207">
        <v>1</v>
      </c>
      <c r="H116" s="330">
        <v>1.7</v>
      </c>
      <c r="I116" s="209">
        <v>10</v>
      </c>
      <c r="J116" s="209"/>
      <c r="K116" s="13" t="s">
        <v>234</v>
      </c>
      <c r="L116" s="13">
        <f>0.86*2</f>
        <v>1.72</v>
      </c>
      <c r="M116" s="13">
        <f>'PRECIOS INSUMOS 2015'!C$5</f>
        <v>2</v>
      </c>
      <c r="N116" s="18">
        <f t="shared" si="6"/>
        <v>3.44</v>
      </c>
      <c r="O116" s="209">
        <f>G116/H116</f>
        <v>0.58823529411764708</v>
      </c>
      <c r="P116" s="81">
        <f>O116*(I116+J116)*8</f>
        <v>47.058823529411768</v>
      </c>
      <c r="Q116" s="306">
        <f t="shared" si="7"/>
        <v>50.498823529411766</v>
      </c>
    </row>
    <row r="117" spans="1:17" x14ac:dyDescent="0.2">
      <c r="A117" s="328" t="s">
        <v>538</v>
      </c>
      <c r="B117" s="95" t="s">
        <v>263</v>
      </c>
      <c r="C117" s="1">
        <v>207</v>
      </c>
      <c r="D117" s="1" t="s">
        <v>257</v>
      </c>
      <c r="E117" s="12" t="s">
        <v>476</v>
      </c>
      <c r="F117" s="1" t="s">
        <v>308</v>
      </c>
      <c r="G117" s="1">
        <v>1</v>
      </c>
      <c r="H117" s="224"/>
      <c r="I117" s="18"/>
      <c r="J117" s="68"/>
      <c r="K117" s="13" t="s">
        <v>1367</v>
      </c>
      <c r="L117" s="13">
        <v>0.35</v>
      </c>
      <c r="M117" s="13">
        <v>18</v>
      </c>
      <c r="N117" s="18">
        <f t="shared" si="6"/>
        <v>6.3</v>
      </c>
      <c r="O117" s="18"/>
      <c r="P117" s="81"/>
      <c r="Q117" s="57">
        <f t="shared" si="7"/>
        <v>6.3</v>
      </c>
    </row>
    <row r="118" spans="1:17" x14ac:dyDescent="0.2">
      <c r="A118" s="328" t="s">
        <v>539</v>
      </c>
      <c r="B118" s="212" t="s">
        <v>598</v>
      </c>
      <c r="C118" s="207">
        <v>214</v>
      </c>
      <c r="D118" s="207" t="s">
        <v>257</v>
      </c>
      <c r="E118" s="254" t="s">
        <v>476</v>
      </c>
      <c r="F118" s="207" t="s">
        <v>308</v>
      </c>
      <c r="G118" s="207">
        <v>1</v>
      </c>
      <c r="H118" s="330">
        <v>1.7</v>
      </c>
      <c r="I118" s="209">
        <v>10</v>
      </c>
      <c r="J118" s="209"/>
      <c r="K118" s="13" t="s">
        <v>234</v>
      </c>
      <c r="L118" s="13">
        <f>0.86*2</f>
        <v>1.72</v>
      </c>
      <c r="M118" s="13">
        <f>'PRECIOS INSUMOS 2015'!C$5</f>
        <v>2</v>
      </c>
      <c r="N118" s="18">
        <f t="shared" si="6"/>
        <v>3.44</v>
      </c>
      <c r="O118" s="209">
        <f>G118/H118</f>
        <v>0.58823529411764708</v>
      </c>
      <c r="P118" s="81">
        <f>O118*(I118+J118)*8</f>
        <v>47.058823529411768</v>
      </c>
      <c r="Q118" s="306">
        <f t="shared" si="7"/>
        <v>50.498823529411766</v>
      </c>
    </row>
    <row r="119" spans="1:17" x14ac:dyDescent="0.2">
      <c r="A119" s="328" t="s">
        <v>504</v>
      </c>
      <c r="B119" s="95" t="s">
        <v>263</v>
      </c>
      <c r="C119" s="1">
        <v>214</v>
      </c>
      <c r="D119" s="1" t="s">
        <v>257</v>
      </c>
      <c r="E119" s="12" t="s">
        <v>476</v>
      </c>
      <c r="F119" s="1" t="s">
        <v>308</v>
      </c>
      <c r="G119" s="1">
        <v>1</v>
      </c>
      <c r="H119" s="224"/>
      <c r="I119" s="18"/>
      <c r="J119" s="68"/>
      <c r="K119" s="13" t="s">
        <v>1367</v>
      </c>
      <c r="L119" s="13">
        <v>0.35</v>
      </c>
      <c r="M119" s="13">
        <v>18</v>
      </c>
      <c r="N119" s="18">
        <f t="shared" si="6"/>
        <v>6.3</v>
      </c>
      <c r="O119" s="18"/>
      <c r="P119" s="81"/>
      <c r="Q119" s="57">
        <f t="shared" si="7"/>
        <v>6.3</v>
      </c>
    </row>
    <row r="120" spans="1:17" x14ac:dyDescent="0.2">
      <c r="A120" s="328" t="s">
        <v>540</v>
      </c>
      <c r="B120" s="212" t="s">
        <v>273</v>
      </c>
      <c r="C120" s="207">
        <v>216</v>
      </c>
      <c r="D120" s="207" t="s">
        <v>266</v>
      </c>
      <c r="E120" s="207" t="s">
        <v>272</v>
      </c>
      <c r="F120" s="207" t="s">
        <v>308</v>
      </c>
      <c r="G120" s="207">
        <v>1</v>
      </c>
      <c r="H120" s="330">
        <v>0.62</v>
      </c>
      <c r="I120" s="209"/>
      <c r="J120" s="209">
        <v>10</v>
      </c>
      <c r="K120" s="13"/>
      <c r="L120" s="13"/>
      <c r="M120" s="13"/>
      <c r="N120" s="18">
        <f t="shared" si="6"/>
        <v>0</v>
      </c>
      <c r="O120" s="209">
        <f>G120/H120</f>
        <v>1.6129032258064517</v>
      </c>
      <c r="P120" s="81">
        <f>O120*(I120+J120)*8</f>
        <v>129.03225806451613</v>
      </c>
      <c r="Q120" s="306">
        <f t="shared" si="7"/>
        <v>129.03225806451613</v>
      </c>
    </row>
    <row r="121" spans="1:17" x14ac:dyDescent="0.2">
      <c r="A121" s="328" t="s">
        <v>521</v>
      </c>
      <c r="B121" s="212" t="s">
        <v>491</v>
      </c>
      <c r="C121" s="207">
        <v>216</v>
      </c>
      <c r="D121" s="207" t="s">
        <v>266</v>
      </c>
      <c r="E121" s="207" t="s">
        <v>272</v>
      </c>
      <c r="F121" s="207" t="s">
        <v>308</v>
      </c>
      <c r="G121" s="207">
        <v>1</v>
      </c>
      <c r="H121" s="330">
        <v>0.62</v>
      </c>
      <c r="I121" s="209"/>
      <c r="J121" s="209">
        <v>10</v>
      </c>
      <c r="K121" s="13"/>
      <c r="L121" s="13"/>
      <c r="M121" s="13"/>
      <c r="N121" s="18">
        <f t="shared" si="6"/>
        <v>0</v>
      </c>
      <c r="O121" s="209">
        <f>G121/H121</f>
        <v>1.6129032258064517</v>
      </c>
      <c r="P121" s="81">
        <f>O121*(I121+J121)*8</f>
        <v>129.03225806451613</v>
      </c>
      <c r="Q121" s="306">
        <f t="shared" si="7"/>
        <v>129.03225806451613</v>
      </c>
    </row>
    <row r="122" spans="1:17" x14ac:dyDescent="0.2">
      <c r="A122" s="328" t="s">
        <v>541</v>
      </c>
      <c r="B122" s="212" t="s">
        <v>598</v>
      </c>
      <c r="C122" s="207">
        <v>221</v>
      </c>
      <c r="D122" s="207" t="s">
        <v>257</v>
      </c>
      <c r="E122" s="254" t="s">
        <v>476</v>
      </c>
      <c r="F122" s="207" t="s">
        <v>308</v>
      </c>
      <c r="G122" s="207">
        <v>1</v>
      </c>
      <c r="H122" s="330">
        <v>1.7</v>
      </c>
      <c r="I122" s="209">
        <v>10</v>
      </c>
      <c r="J122" s="209"/>
      <c r="K122" s="13" t="s">
        <v>234</v>
      </c>
      <c r="L122" s="13">
        <f>0.86*2</f>
        <v>1.72</v>
      </c>
      <c r="M122" s="13">
        <f>'PRECIOS INSUMOS 2015'!C$5</f>
        <v>2</v>
      </c>
      <c r="N122" s="18">
        <f t="shared" si="6"/>
        <v>3.44</v>
      </c>
      <c r="O122" s="209">
        <f>G122/H122</f>
        <v>0.58823529411764708</v>
      </c>
      <c r="P122" s="81">
        <f>O122*(I122+J122)*8</f>
        <v>47.058823529411768</v>
      </c>
      <c r="Q122" s="306">
        <f t="shared" si="7"/>
        <v>50.498823529411766</v>
      </c>
    </row>
    <row r="123" spans="1:17" x14ac:dyDescent="0.2">
      <c r="A123" s="328" t="s">
        <v>542</v>
      </c>
      <c r="B123" s="95" t="s">
        <v>263</v>
      </c>
      <c r="C123" s="1">
        <v>221</v>
      </c>
      <c r="D123" s="1" t="s">
        <v>257</v>
      </c>
      <c r="E123" s="12" t="s">
        <v>476</v>
      </c>
      <c r="F123" s="1" t="s">
        <v>308</v>
      </c>
      <c r="G123" s="1">
        <v>1</v>
      </c>
      <c r="H123" s="224"/>
      <c r="I123" s="18"/>
      <c r="J123" s="68"/>
      <c r="K123" s="13" t="s">
        <v>1367</v>
      </c>
      <c r="L123" s="13">
        <v>0.35</v>
      </c>
      <c r="M123" s="13">
        <v>18</v>
      </c>
      <c r="N123" s="18">
        <f t="shared" si="6"/>
        <v>6.3</v>
      </c>
      <c r="O123" s="18"/>
      <c r="P123" s="81"/>
      <c r="Q123" s="57">
        <f t="shared" si="7"/>
        <v>6.3</v>
      </c>
    </row>
    <row r="124" spans="1:17" x14ac:dyDescent="0.2">
      <c r="A124" s="328" t="s">
        <v>543</v>
      </c>
      <c r="B124" s="212" t="s">
        <v>598</v>
      </c>
      <c r="C124" s="207">
        <v>228</v>
      </c>
      <c r="D124" s="207" t="s">
        <v>257</v>
      </c>
      <c r="E124" s="254" t="s">
        <v>476</v>
      </c>
      <c r="F124" s="207" t="s">
        <v>308</v>
      </c>
      <c r="G124" s="207">
        <v>1</v>
      </c>
      <c r="H124" s="330">
        <v>1.7</v>
      </c>
      <c r="I124" s="209">
        <v>10</v>
      </c>
      <c r="J124" s="209"/>
      <c r="K124" s="13" t="s">
        <v>234</v>
      </c>
      <c r="L124" s="13">
        <f>0.86*2</f>
        <v>1.72</v>
      </c>
      <c r="M124" s="13">
        <f>'PRECIOS INSUMOS 2015'!C$5</f>
        <v>2</v>
      </c>
      <c r="N124" s="18">
        <f t="shared" si="6"/>
        <v>3.44</v>
      </c>
      <c r="O124" s="209">
        <f>G124/H124</f>
        <v>0.58823529411764708</v>
      </c>
      <c r="P124" s="81">
        <f>O124*(I124+J124)*8</f>
        <v>47.058823529411768</v>
      </c>
      <c r="Q124" s="306">
        <f t="shared" si="7"/>
        <v>50.498823529411766</v>
      </c>
    </row>
    <row r="125" spans="1:17" x14ac:dyDescent="0.2">
      <c r="A125" s="328" t="s">
        <v>505</v>
      </c>
      <c r="B125" s="95" t="s">
        <v>263</v>
      </c>
      <c r="C125" s="1">
        <v>228</v>
      </c>
      <c r="D125" s="1" t="s">
        <v>257</v>
      </c>
      <c r="E125" s="12" t="s">
        <v>476</v>
      </c>
      <c r="F125" s="1" t="s">
        <v>308</v>
      </c>
      <c r="G125" s="1">
        <v>1</v>
      </c>
      <c r="H125" s="224"/>
      <c r="I125" s="18"/>
      <c r="J125" s="68"/>
      <c r="K125" s="13" t="s">
        <v>1367</v>
      </c>
      <c r="L125" s="13">
        <v>0.35</v>
      </c>
      <c r="M125" s="13">
        <v>18</v>
      </c>
      <c r="N125" s="18">
        <f t="shared" si="6"/>
        <v>6.3</v>
      </c>
      <c r="O125" s="18"/>
      <c r="P125" s="81"/>
      <c r="Q125" s="57">
        <f t="shared" si="7"/>
        <v>6.3</v>
      </c>
    </row>
    <row r="126" spans="1:17" x14ac:dyDescent="0.2">
      <c r="A126" s="328" t="s">
        <v>544</v>
      </c>
      <c r="B126" s="212" t="s">
        <v>923</v>
      </c>
      <c r="C126" s="207">
        <v>230</v>
      </c>
      <c r="D126" s="207" t="s">
        <v>266</v>
      </c>
      <c r="E126" s="207" t="s">
        <v>267</v>
      </c>
      <c r="F126" s="207" t="s">
        <v>308</v>
      </c>
      <c r="G126" s="207">
        <v>1</v>
      </c>
      <c r="H126" s="330">
        <v>0.5</v>
      </c>
      <c r="I126" s="209"/>
      <c r="J126" s="209">
        <v>10</v>
      </c>
      <c r="K126" s="13" t="s">
        <v>510</v>
      </c>
      <c r="L126" s="13">
        <v>2</v>
      </c>
      <c r="M126" s="13">
        <v>8.76</v>
      </c>
      <c r="N126" s="18">
        <f t="shared" si="6"/>
        <v>17.52</v>
      </c>
      <c r="O126" s="209">
        <f>G126/H126</f>
        <v>2</v>
      </c>
      <c r="P126" s="81">
        <f>O126*(I126+J126)*8</f>
        <v>160</v>
      </c>
      <c r="Q126" s="306">
        <f t="shared" si="7"/>
        <v>177.52</v>
      </c>
    </row>
    <row r="127" spans="1:17" x14ac:dyDescent="0.2">
      <c r="A127" s="328" t="s">
        <v>545</v>
      </c>
      <c r="B127" s="212" t="s">
        <v>598</v>
      </c>
      <c r="C127" s="207">
        <v>235</v>
      </c>
      <c r="D127" s="207" t="s">
        <v>257</v>
      </c>
      <c r="E127" s="254" t="s">
        <v>476</v>
      </c>
      <c r="F127" s="207" t="s">
        <v>308</v>
      </c>
      <c r="G127" s="207">
        <v>1</v>
      </c>
      <c r="H127" s="330">
        <v>1.7</v>
      </c>
      <c r="I127" s="209">
        <v>10</v>
      </c>
      <c r="J127" s="209"/>
      <c r="K127" s="13" t="s">
        <v>234</v>
      </c>
      <c r="L127" s="13">
        <f>0.86*2</f>
        <v>1.72</v>
      </c>
      <c r="M127" s="13">
        <f>'PRECIOS INSUMOS 2015'!C$5</f>
        <v>2</v>
      </c>
      <c r="N127" s="18">
        <f t="shared" si="6"/>
        <v>3.44</v>
      </c>
      <c r="O127" s="209">
        <f>G127/H127</f>
        <v>0.58823529411764708</v>
      </c>
      <c r="P127" s="81">
        <f>O127*(I127+J127)*8</f>
        <v>47.058823529411768</v>
      </c>
      <c r="Q127" s="306">
        <f t="shared" si="7"/>
        <v>50.498823529411766</v>
      </c>
    </row>
    <row r="128" spans="1:17" x14ac:dyDescent="0.2">
      <c r="A128" s="328" t="s">
        <v>522</v>
      </c>
      <c r="B128" s="95" t="s">
        <v>263</v>
      </c>
      <c r="C128" s="1">
        <v>235</v>
      </c>
      <c r="D128" s="1" t="s">
        <v>257</v>
      </c>
      <c r="E128" s="12" t="s">
        <v>476</v>
      </c>
      <c r="F128" s="1" t="s">
        <v>308</v>
      </c>
      <c r="G128" s="1">
        <v>1</v>
      </c>
      <c r="H128" s="224"/>
      <c r="I128" s="18"/>
      <c r="J128" s="68"/>
      <c r="K128" s="13" t="s">
        <v>1367</v>
      </c>
      <c r="L128" s="13">
        <v>0.35</v>
      </c>
      <c r="M128" s="13">
        <v>18</v>
      </c>
      <c r="N128" s="18">
        <f t="shared" si="6"/>
        <v>6.3</v>
      </c>
      <c r="O128" s="18"/>
      <c r="P128" s="81"/>
      <c r="Q128" s="57">
        <f t="shared" si="7"/>
        <v>6.3</v>
      </c>
    </row>
    <row r="129" spans="1:17" x14ac:dyDescent="0.2">
      <c r="A129" s="328" t="s">
        <v>546</v>
      </c>
      <c r="B129" s="212" t="s">
        <v>598</v>
      </c>
      <c r="C129" s="207">
        <v>242</v>
      </c>
      <c r="D129" s="207" t="s">
        <v>257</v>
      </c>
      <c r="E129" s="254" t="s">
        <v>476</v>
      </c>
      <c r="F129" s="207" t="s">
        <v>308</v>
      </c>
      <c r="G129" s="207">
        <v>1</v>
      </c>
      <c r="H129" s="330">
        <v>1.7</v>
      </c>
      <c r="I129" s="209">
        <v>10</v>
      </c>
      <c r="J129" s="209"/>
      <c r="K129" s="13" t="s">
        <v>234</v>
      </c>
      <c r="L129" s="13">
        <f>0.86*2</f>
        <v>1.72</v>
      </c>
      <c r="M129" s="13">
        <f>'PRECIOS INSUMOS 2015'!C$5</f>
        <v>2</v>
      </c>
      <c r="N129" s="18">
        <f t="shared" si="6"/>
        <v>3.44</v>
      </c>
      <c r="O129" s="209">
        <f>G129/H129</f>
        <v>0.58823529411764708</v>
      </c>
      <c r="P129" s="81">
        <f>O129*(I129+J129)*8</f>
        <v>47.058823529411768</v>
      </c>
      <c r="Q129" s="306">
        <f t="shared" si="7"/>
        <v>50.498823529411766</v>
      </c>
    </row>
    <row r="130" spans="1:17" x14ac:dyDescent="0.2">
      <c r="A130" s="328" t="s">
        <v>547</v>
      </c>
      <c r="B130" s="95" t="s">
        <v>263</v>
      </c>
      <c r="C130" s="1">
        <v>242</v>
      </c>
      <c r="D130" s="1" t="s">
        <v>257</v>
      </c>
      <c r="E130" s="12" t="s">
        <v>476</v>
      </c>
      <c r="F130" s="1" t="s">
        <v>308</v>
      </c>
      <c r="G130" s="1">
        <v>1</v>
      </c>
      <c r="H130" s="224"/>
      <c r="I130" s="18"/>
      <c r="J130" s="68"/>
      <c r="K130" s="13" t="s">
        <v>1367</v>
      </c>
      <c r="L130" s="13">
        <v>0.35</v>
      </c>
      <c r="M130" s="13">
        <v>18</v>
      </c>
      <c r="N130" s="18">
        <f t="shared" si="6"/>
        <v>6.3</v>
      </c>
      <c r="O130" s="18"/>
      <c r="P130" s="81"/>
      <c r="Q130" s="57">
        <f t="shared" si="7"/>
        <v>6.3</v>
      </c>
    </row>
    <row r="131" spans="1:17" x14ac:dyDescent="0.2">
      <c r="A131" s="328" t="s">
        <v>506</v>
      </c>
      <c r="B131" s="212" t="s">
        <v>598</v>
      </c>
      <c r="C131" s="207">
        <v>249</v>
      </c>
      <c r="D131" s="207" t="s">
        <v>257</v>
      </c>
      <c r="E131" s="254" t="s">
        <v>476</v>
      </c>
      <c r="F131" s="207" t="s">
        <v>308</v>
      </c>
      <c r="G131" s="207">
        <v>1</v>
      </c>
      <c r="H131" s="330">
        <v>1.7</v>
      </c>
      <c r="I131" s="209">
        <v>10</v>
      </c>
      <c r="J131" s="209"/>
      <c r="K131" s="13" t="s">
        <v>234</v>
      </c>
      <c r="L131" s="13">
        <f>0.86*2</f>
        <v>1.72</v>
      </c>
      <c r="M131" s="13">
        <f>'PRECIOS INSUMOS 2015'!C$5</f>
        <v>2</v>
      </c>
      <c r="N131" s="18">
        <f t="shared" si="6"/>
        <v>3.44</v>
      </c>
      <c r="O131" s="209">
        <f>G131/H131</f>
        <v>0.58823529411764708</v>
      </c>
      <c r="P131" s="81">
        <f>O131*(I131+J131)*8</f>
        <v>47.058823529411768</v>
      </c>
      <c r="Q131" s="306">
        <f t="shared" si="7"/>
        <v>50.498823529411766</v>
      </c>
    </row>
    <row r="132" spans="1:17" x14ac:dyDescent="0.2">
      <c r="A132" s="328" t="s">
        <v>508</v>
      </c>
      <c r="B132" s="95" t="s">
        <v>263</v>
      </c>
      <c r="C132" s="1">
        <v>249</v>
      </c>
      <c r="D132" s="1" t="s">
        <v>257</v>
      </c>
      <c r="E132" s="12" t="s">
        <v>476</v>
      </c>
      <c r="F132" s="1" t="s">
        <v>308</v>
      </c>
      <c r="G132" s="1">
        <v>1</v>
      </c>
      <c r="H132" s="224"/>
      <c r="I132" s="18"/>
      <c r="J132" s="68"/>
      <c r="K132" s="13" t="s">
        <v>1367</v>
      </c>
      <c r="L132" s="13">
        <v>0.35</v>
      </c>
      <c r="M132" s="13">
        <v>18</v>
      </c>
      <c r="N132" s="18">
        <f t="shared" si="6"/>
        <v>6.3</v>
      </c>
      <c r="O132" s="18"/>
      <c r="P132" s="81"/>
      <c r="Q132" s="57">
        <f t="shared" si="7"/>
        <v>6.3</v>
      </c>
    </row>
    <row r="133" spans="1:17" x14ac:dyDescent="0.2">
      <c r="A133" s="328" t="s">
        <v>548</v>
      </c>
      <c r="B133" s="212" t="s">
        <v>598</v>
      </c>
      <c r="C133" s="207">
        <v>256</v>
      </c>
      <c r="D133" s="207" t="s">
        <v>257</v>
      </c>
      <c r="E133" s="254" t="s">
        <v>476</v>
      </c>
      <c r="F133" s="207" t="s">
        <v>308</v>
      </c>
      <c r="G133" s="207">
        <v>1</v>
      </c>
      <c r="H133" s="330">
        <v>1.7</v>
      </c>
      <c r="I133" s="209">
        <v>10</v>
      </c>
      <c r="J133" s="209"/>
      <c r="K133" s="13" t="s">
        <v>234</v>
      </c>
      <c r="L133" s="13">
        <f>0.86*2</f>
        <v>1.72</v>
      </c>
      <c r="M133" s="13">
        <f>'PRECIOS INSUMOS 2015'!C$5</f>
        <v>2</v>
      </c>
      <c r="N133" s="18">
        <f t="shared" si="6"/>
        <v>3.44</v>
      </c>
      <c r="O133" s="209">
        <f>G133/H133</f>
        <v>0.58823529411764708</v>
      </c>
      <c r="P133" s="81">
        <f>O133*(I133+J133)*8</f>
        <v>47.058823529411768</v>
      </c>
      <c r="Q133" s="306">
        <f t="shared" si="7"/>
        <v>50.498823529411766</v>
      </c>
    </row>
    <row r="134" spans="1:17" x14ac:dyDescent="0.2">
      <c r="A134" s="328" t="s">
        <v>575</v>
      </c>
      <c r="B134" s="95" t="s">
        <v>263</v>
      </c>
      <c r="C134" s="1">
        <v>256</v>
      </c>
      <c r="D134" s="1" t="s">
        <v>257</v>
      </c>
      <c r="E134" s="12" t="s">
        <v>476</v>
      </c>
      <c r="F134" s="1" t="s">
        <v>308</v>
      </c>
      <c r="G134" s="1">
        <v>1</v>
      </c>
      <c r="H134" s="224"/>
      <c r="I134" s="18"/>
      <c r="J134" s="68"/>
      <c r="K134" s="13" t="s">
        <v>1367</v>
      </c>
      <c r="L134" s="13">
        <v>0.35</v>
      </c>
      <c r="M134" s="13">
        <v>18</v>
      </c>
      <c r="N134" s="18">
        <f t="shared" si="6"/>
        <v>6.3</v>
      </c>
      <c r="O134" s="18"/>
      <c r="P134" s="81"/>
      <c r="Q134" s="57">
        <f t="shared" si="7"/>
        <v>6.3</v>
      </c>
    </row>
    <row r="135" spans="1:17" x14ac:dyDescent="0.2">
      <c r="A135" s="328" t="s">
        <v>576</v>
      </c>
      <c r="B135" s="212" t="s">
        <v>598</v>
      </c>
      <c r="C135" s="207">
        <v>263</v>
      </c>
      <c r="D135" s="207" t="s">
        <v>257</v>
      </c>
      <c r="E135" s="254" t="s">
        <v>476</v>
      </c>
      <c r="F135" s="207" t="s">
        <v>308</v>
      </c>
      <c r="G135" s="207">
        <v>1</v>
      </c>
      <c r="H135" s="330">
        <v>1.7</v>
      </c>
      <c r="I135" s="209">
        <v>10</v>
      </c>
      <c r="J135" s="209"/>
      <c r="K135" s="13" t="s">
        <v>234</v>
      </c>
      <c r="L135" s="13">
        <f>0.86*2</f>
        <v>1.72</v>
      </c>
      <c r="M135" s="13">
        <f>'PRECIOS INSUMOS 2015'!C$5</f>
        <v>2</v>
      </c>
      <c r="N135" s="18">
        <f t="shared" si="6"/>
        <v>3.44</v>
      </c>
      <c r="O135" s="209">
        <f>G135/H135</f>
        <v>0.58823529411764708</v>
      </c>
      <c r="P135" s="81">
        <f>O135*(I135+J135)*8</f>
        <v>47.058823529411768</v>
      </c>
      <c r="Q135" s="306">
        <f t="shared" si="7"/>
        <v>50.498823529411766</v>
      </c>
    </row>
    <row r="136" spans="1:17" x14ac:dyDescent="0.2">
      <c r="A136" s="328" t="s">
        <v>577</v>
      </c>
      <c r="B136" s="95" t="s">
        <v>263</v>
      </c>
      <c r="C136" s="1">
        <v>263</v>
      </c>
      <c r="D136" s="1" t="s">
        <v>257</v>
      </c>
      <c r="E136" s="12" t="s">
        <v>476</v>
      </c>
      <c r="F136" s="1" t="s">
        <v>308</v>
      </c>
      <c r="G136" s="1">
        <v>1</v>
      </c>
      <c r="H136" s="224"/>
      <c r="I136" s="18"/>
      <c r="J136" s="68"/>
      <c r="K136" s="13" t="s">
        <v>1367</v>
      </c>
      <c r="L136" s="13">
        <v>0.35</v>
      </c>
      <c r="M136" s="13">
        <v>18</v>
      </c>
      <c r="N136" s="18">
        <f t="shared" si="6"/>
        <v>6.3</v>
      </c>
      <c r="O136" s="18"/>
      <c r="P136" s="81"/>
      <c r="Q136" s="57">
        <f t="shared" si="7"/>
        <v>6.3</v>
      </c>
    </row>
    <row r="137" spans="1:17" x14ac:dyDescent="0.2">
      <c r="A137" s="328" t="s">
        <v>578</v>
      </c>
      <c r="B137" s="212" t="s">
        <v>923</v>
      </c>
      <c r="C137" s="207">
        <v>265</v>
      </c>
      <c r="D137" s="207" t="s">
        <v>266</v>
      </c>
      <c r="E137" s="207" t="s">
        <v>267</v>
      </c>
      <c r="F137" s="207" t="s">
        <v>308</v>
      </c>
      <c r="G137" s="207">
        <v>1</v>
      </c>
      <c r="H137" s="330">
        <v>0.5</v>
      </c>
      <c r="I137" s="209"/>
      <c r="J137" s="209">
        <v>10</v>
      </c>
      <c r="K137" s="13" t="s">
        <v>510</v>
      </c>
      <c r="L137" s="13">
        <v>2</v>
      </c>
      <c r="M137" s="13">
        <v>8.76</v>
      </c>
      <c r="N137" s="18">
        <f t="shared" ref="N137:N174" si="8">M137*L137</f>
        <v>17.52</v>
      </c>
      <c r="O137" s="209">
        <f>G137/H137</f>
        <v>2</v>
      </c>
      <c r="P137" s="81">
        <f>O137*(I137+J137)*8</f>
        <v>160</v>
      </c>
      <c r="Q137" s="306">
        <f t="shared" ref="Q137:Q176" si="9">N137+P137</f>
        <v>177.52</v>
      </c>
    </row>
    <row r="138" spans="1:17" s="317" customFormat="1" x14ac:dyDescent="0.2">
      <c r="A138" s="328" t="s">
        <v>579</v>
      </c>
      <c r="B138" s="212" t="s">
        <v>598</v>
      </c>
      <c r="C138" s="207">
        <v>270</v>
      </c>
      <c r="D138" s="207" t="s">
        <v>257</v>
      </c>
      <c r="E138" s="254" t="s">
        <v>476</v>
      </c>
      <c r="F138" s="207" t="s">
        <v>308</v>
      </c>
      <c r="G138" s="207">
        <v>1</v>
      </c>
      <c r="H138" s="330">
        <v>1.7</v>
      </c>
      <c r="I138" s="209">
        <v>10</v>
      </c>
      <c r="J138" s="209"/>
      <c r="K138" s="13" t="s">
        <v>234</v>
      </c>
      <c r="L138" s="13">
        <f>0.86*2</f>
        <v>1.72</v>
      </c>
      <c r="M138" s="13">
        <f>'PRECIOS INSUMOS 2015'!C$5</f>
        <v>2</v>
      </c>
      <c r="N138" s="18">
        <f t="shared" si="8"/>
        <v>3.44</v>
      </c>
      <c r="O138" s="209">
        <f>G138/H138</f>
        <v>0.58823529411764708</v>
      </c>
      <c r="P138" s="81">
        <f>O138*(I138+J138)*8</f>
        <v>47.058823529411768</v>
      </c>
      <c r="Q138" s="306">
        <f t="shared" si="9"/>
        <v>50.498823529411766</v>
      </c>
    </row>
    <row r="139" spans="1:17" s="317" customFormat="1" x14ac:dyDescent="0.2">
      <c r="A139" s="328" t="s">
        <v>580</v>
      </c>
      <c r="B139" s="95" t="s">
        <v>263</v>
      </c>
      <c r="C139" s="1">
        <v>270</v>
      </c>
      <c r="D139" s="1" t="s">
        <v>257</v>
      </c>
      <c r="E139" s="12" t="s">
        <v>476</v>
      </c>
      <c r="F139" s="1" t="s">
        <v>308</v>
      </c>
      <c r="G139" s="1">
        <v>1</v>
      </c>
      <c r="H139" s="224"/>
      <c r="I139" s="18"/>
      <c r="J139" s="68"/>
      <c r="K139" s="13" t="s">
        <v>1367</v>
      </c>
      <c r="L139" s="13">
        <v>0.35</v>
      </c>
      <c r="M139" s="13">
        <v>18</v>
      </c>
      <c r="N139" s="18">
        <f t="shared" si="8"/>
        <v>6.3</v>
      </c>
      <c r="O139" s="18"/>
      <c r="P139" s="81"/>
      <c r="Q139" s="57">
        <f t="shared" si="9"/>
        <v>6.3</v>
      </c>
    </row>
    <row r="140" spans="1:17" s="317" customFormat="1" x14ac:dyDescent="0.2">
      <c r="A140" s="328" t="s">
        <v>581</v>
      </c>
      <c r="B140" s="212" t="s">
        <v>273</v>
      </c>
      <c r="C140" s="207">
        <v>272</v>
      </c>
      <c r="D140" s="207" t="s">
        <v>266</v>
      </c>
      <c r="E140" s="207" t="s">
        <v>272</v>
      </c>
      <c r="F140" s="207" t="s">
        <v>308</v>
      </c>
      <c r="G140" s="207">
        <v>1</v>
      </c>
      <c r="H140" s="330">
        <v>0.62</v>
      </c>
      <c r="I140" s="209"/>
      <c r="J140" s="209">
        <v>10</v>
      </c>
      <c r="K140" s="13"/>
      <c r="L140" s="13"/>
      <c r="M140" s="13"/>
      <c r="N140" s="18">
        <f t="shared" si="8"/>
        <v>0</v>
      </c>
      <c r="O140" s="209">
        <f>G140/H140</f>
        <v>1.6129032258064517</v>
      </c>
      <c r="P140" s="81">
        <f>O140*(I140+J140)*8</f>
        <v>129.03225806451613</v>
      </c>
      <c r="Q140" s="306">
        <f t="shared" si="9"/>
        <v>129.03225806451613</v>
      </c>
    </row>
    <row r="141" spans="1:17" s="317" customFormat="1" x14ac:dyDescent="0.2">
      <c r="A141" s="328" t="s">
        <v>582</v>
      </c>
      <c r="B141" s="212" t="s">
        <v>491</v>
      </c>
      <c r="C141" s="207">
        <v>272</v>
      </c>
      <c r="D141" s="207" t="s">
        <v>266</v>
      </c>
      <c r="E141" s="207" t="s">
        <v>272</v>
      </c>
      <c r="F141" s="207" t="s">
        <v>308</v>
      </c>
      <c r="G141" s="207">
        <v>1</v>
      </c>
      <c r="H141" s="330">
        <v>0.62</v>
      </c>
      <c r="I141" s="209"/>
      <c r="J141" s="209">
        <v>10</v>
      </c>
      <c r="K141" s="13"/>
      <c r="L141" s="13"/>
      <c r="M141" s="13"/>
      <c r="N141" s="18">
        <f t="shared" si="8"/>
        <v>0</v>
      </c>
      <c r="O141" s="209">
        <f>G141/H141</f>
        <v>1.6129032258064517</v>
      </c>
      <c r="P141" s="81">
        <f>O141*(I141+J141)*8</f>
        <v>129.03225806451613</v>
      </c>
      <c r="Q141" s="306">
        <f t="shared" si="9"/>
        <v>129.03225806451613</v>
      </c>
    </row>
    <row r="142" spans="1:17" s="317" customFormat="1" x14ac:dyDescent="0.2">
      <c r="A142" s="328" t="s">
        <v>583</v>
      </c>
      <c r="B142" s="212" t="s">
        <v>598</v>
      </c>
      <c r="C142" s="207">
        <v>277</v>
      </c>
      <c r="D142" s="207" t="s">
        <v>257</v>
      </c>
      <c r="E142" s="254" t="s">
        <v>476</v>
      </c>
      <c r="F142" s="207" t="s">
        <v>308</v>
      </c>
      <c r="G142" s="207">
        <v>1</v>
      </c>
      <c r="H142" s="330">
        <v>1.7</v>
      </c>
      <c r="I142" s="209">
        <v>10</v>
      </c>
      <c r="J142" s="209"/>
      <c r="K142" s="13" t="s">
        <v>234</v>
      </c>
      <c r="L142" s="13">
        <f>0.86*2</f>
        <v>1.72</v>
      </c>
      <c r="M142" s="13">
        <f>'PRECIOS INSUMOS 2015'!C$5</f>
        <v>2</v>
      </c>
      <c r="N142" s="18">
        <f t="shared" si="8"/>
        <v>3.44</v>
      </c>
      <c r="O142" s="209">
        <f>G142/H142</f>
        <v>0.58823529411764708</v>
      </c>
      <c r="P142" s="81">
        <f>O142*(I142+J142)*8</f>
        <v>47.058823529411768</v>
      </c>
      <c r="Q142" s="306">
        <f t="shared" si="9"/>
        <v>50.498823529411766</v>
      </c>
    </row>
    <row r="143" spans="1:17" s="317" customFormat="1" x14ac:dyDescent="0.2">
      <c r="A143" s="328" t="s">
        <v>584</v>
      </c>
      <c r="B143" s="95" t="s">
        <v>263</v>
      </c>
      <c r="C143" s="1">
        <v>277</v>
      </c>
      <c r="D143" s="1" t="s">
        <v>257</v>
      </c>
      <c r="E143" s="12" t="s">
        <v>476</v>
      </c>
      <c r="F143" s="1" t="s">
        <v>308</v>
      </c>
      <c r="G143" s="1">
        <v>1</v>
      </c>
      <c r="H143" s="224"/>
      <c r="I143" s="18"/>
      <c r="J143" s="68"/>
      <c r="K143" s="13" t="s">
        <v>1367</v>
      </c>
      <c r="L143" s="13">
        <v>0.35</v>
      </c>
      <c r="M143" s="13">
        <v>18</v>
      </c>
      <c r="N143" s="18">
        <f t="shared" si="8"/>
        <v>6.3</v>
      </c>
      <c r="O143" s="18"/>
      <c r="P143" s="81"/>
      <c r="Q143" s="57">
        <f t="shared" si="9"/>
        <v>6.3</v>
      </c>
    </row>
    <row r="144" spans="1:17" s="317" customFormat="1" x14ac:dyDescent="0.2">
      <c r="A144" s="328" t="s">
        <v>585</v>
      </c>
      <c r="B144" s="212" t="s">
        <v>598</v>
      </c>
      <c r="C144" s="207">
        <v>285</v>
      </c>
      <c r="D144" s="207" t="s">
        <v>257</v>
      </c>
      <c r="E144" s="254" t="s">
        <v>476</v>
      </c>
      <c r="F144" s="207" t="s">
        <v>308</v>
      </c>
      <c r="G144" s="207">
        <v>1</v>
      </c>
      <c r="H144" s="330">
        <v>1.7</v>
      </c>
      <c r="I144" s="209">
        <v>10</v>
      </c>
      <c r="J144" s="209"/>
      <c r="K144" s="13" t="s">
        <v>234</v>
      </c>
      <c r="L144" s="13">
        <f>0.86*2</f>
        <v>1.72</v>
      </c>
      <c r="M144" s="13">
        <f>'PRECIOS INSUMOS 2015'!C$5</f>
        <v>2</v>
      </c>
      <c r="N144" s="18">
        <f t="shared" si="8"/>
        <v>3.44</v>
      </c>
      <c r="O144" s="209">
        <f>G144/H144</f>
        <v>0.58823529411764708</v>
      </c>
      <c r="P144" s="81">
        <f>O144*(I144+J144)*8</f>
        <v>47.058823529411768</v>
      </c>
      <c r="Q144" s="306">
        <f t="shared" si="9"/>
        <v>50.498823529411766</v>
      </c>
    </row>
    <row r="145" spans="1:17" s="317" customFormat="1" x14ac:dyDescent="0.2">
      <c r="A145" s="328" t="s">
        <v>586</v>
      </c>
      <c r="B145" s="95" t="s">
        <v>263</v>
      </c>
      <c r="C145" s="1">
        <v>285</v>
      </c>
      <c r="D145" s="1" t="s">
        <v>257</v>
      </c>
      <c r="E145" s="12" t="s">
        <v>476</v>
      </c>
      <c r="F145" s="1" t="s">
        <v>308</v>
      </c>
      <c r="G145" s="1">
        <v>1</v>
      </c>
      <c r="H145" s="224"/>
      <c r="I145" s="18"/>
      <c r="J145" s="68"/>
      <c r="K145" s="13" t="s">
        <v>1367</v>
      </c>
      <c r="L145" s="13">
        <v>0.35</v>
      </c>
      <c r="M145" s="13">
        <v>18</v>
      </c>
      <c r="N145" s="18">
        <f t="shared" si="8"/>
        <v>6.3</v>
      </c>
      <c r="O145" s="18"/>
      <c r="P145" s="81"/>
      <c r="Q145" s="57">
        <f t="shared" si="9"/>
        <v>6.3</v>
      </c>
    </row>
    <row r="146" spans="1:17" s="317" customFormat="1" x14ac:dyDescent="0.2">
      <c r="A146" s="328" t="s">
        <v>587</v>
      </c>
      <c r="B146" s="212" t="s">
        <v>598</v>
      </c>
      <c r="C146" s="207">
        <v>292</v>
      </c>
      <c r="D146" s="207" t="s">
        <v>257</v>
      </c>
      <c r="E146" s="254" t="s">
        <v>476</v>
      </c>
      <c r="F146" s="207" t="s">
        <v>308</v>
      </c>
      <c r="G146" s="207">
        <v>1</v>
      </c>
      <c r="H146" s="330">
        <v>1.7</v>
      </c>
      <c r="I146" s="209">
        <v>10</v>
      </c>
      <c r="J146" s="209"/>
      <c r="K146" s="13" t="s">
        <v>234</v>
      </c>
      <c r="L146" s="13">
        <f>0.86*2</f>
        <v>1.72</v>
      </c>
      <c r="M146" s="13">
        <f>'PRECIOS INSUMOS 2015'!C$5</f>
        <v>2</v>
      </c>
      <c r="N146" s="18">
        <f t="shared" si="8"/>
        <v>3.44</v>
      </c>
      <c r="O146" s="209">
        <f>G146/H146</f>
        <v>0.58823529411764708</v>
      </c>
      <c r="P146" s="81">
        <f>O146*(I146+J146)*8</f>
        <v>47.058823529411768</v>
      </c>
      <c r="Q146" s="306">
        <f t="shared" si="9"/>
        <v>50.498823529411766</v>
      </c>
    </row>
    <row r="147" spans="1:17" s="317" customFormat="1" x14ac:dyDescent="0.2">
      <c r="A147" s="328" t="s">
        <v>588</v>
      </c>
      <c r="B147" s="95" t="s">
        <v>263</v>
      </c>
      <c r="C147" s="1">
        <v>292</v>
      </c>
      <c r="D147" s="1" t="s">
        <v>257</v>
      </c>
      <c r="E147" s="12" t="s">
        <v>476</v>
      </c>
      <c r="F147" s="1" t="s">
        <v>308</v>
      </c>
      <c r="G147" s="1">
        <v>1</v>
      </c>
      <c r="H147" s="224"/>
      <c r="I147" s="18"/>
      <c r="J147" s="68"/>
      <c r="K147" s="13" t="s">
        <v>1367</v>
      </c>
      <c r="L147" s="13">
        <v>0.35</v>
      </c>
      <c r="M147" s="13">
        <v>18</v>
      </c>
      <c r="N147" s="18">
        <f t="shared" si="8"/>
        <v>6.3</v>
      </c>
      <c r="O147" s="18"/>
      <c r="P147" s="81"/>
      <c r="Q147" s="57">
        <f t="shared" si="9"/>
        <v>6.3</v>
      </c>
    </row>
    <row r="148" spans="1:17" s="317" customFormat="1" x14ac:dyDescent="0.2">
      <c r="A148" s="328" t="s">
        <v>589</v>
      </c>
      <c r="B148" s="212" t="s">
        <v>924</v>
      </c>
      <c r="C148" s="207">
        <v>294</v>
      </c>
      <c r="D148" s="207" t="s">
        <v>266</v>
      </c>
      <c r="E148" s="207" t="s">
        <v>267</v>
      </c>
      <c r="F148" s="207" t="s">
        <v>308</v>
      </c>
      <c r="G148" s="207">
        <v>1</v>
      </c>
      <c r="H148" s="330">
        <v>0.5</v>
      </c>
      <c r="I148" s="209"/>
      <c r="J148" s="209">
        <v>10</v>
      </c>
      <c r="K148" s="13" t="s">
        <v>511</v>
      </c>
      <c r="L148" s="13">
        <v>2</v>
      </c>
      <c r="M148" s="13">
        <v>9.9700000000000006</v>
      </c>
      <c r="N148" s="18">
        <f t="shared" si="8"/>
        <v>19.940000000000001</v>
      </c>
      <c r="O148" s="209">
        <f>G148/H148</f>
        <v>2</v>
      </c>
      <c r="P148" s="81">
        <f>O148*(I148+J148)*8</f>
        <v>160</v>
      </c>
      <c r="Q148" s="306">
        <f t="shared" si="9"/>
        <v>179.94</v>
      </c>
    </row>
    <row r="149" spans="1:17" s="317" customFormat="1" x14ac:dyDescent="0.2">
      <c r="A149" s="328" t="s">
        <v>600</v>
      </c>
      <c r="B149" s="212" t="s">
        <v>598</v>
      </c>
      <c r="C149" s="207">
        <v>299</v>
      </c>
      <c r="D149" s="207" t="s">
        <v>257</v>
      </c>
      <c r="E149" s="254" t="s">
        <v>476</v>
      </c>
      <c r="F149" s="207" t="s">
        <v>308</v>
      </c>
      <c r="G149" s="207">
        <v>1</v>
      </c>
      <c r="H149" s="330">
        <v>1.7</v>
      </c>
      <c r="I149" s="209">
        <v>10</v>
      </c>
      <c r="J149" s="209"/>
      <c r="K149" s="13" t="s">
        <v>234</v>
      </c>
      <c r="L149" s="13">
        <f>0.86*2</f>
        <v>1.72</v>
      </c>
      <c r="M149" s="13">
        <f>'PRECIOS INSUMOS 2015'!C$5</f>
        <v>2</v>
      </c>
      <c r="N149" s="18">
        <f t="shared" si="8"/>
        <v>3.44</v>
      </c>
      <c r="O149" s="209">
        <f>G149/H149</f>
        <v>0.58823529411764708</v>
      </c>
      <c r="P149" s="81">
        <f>O149*(I149+J149)*8</f>
        <v>47.058823529411768</v>
      </c>
      <c r="Q149" s="306">
        <f t="shared" si="9"/>
        <v>50.498823529411766</v>
      </c>
    </row>
    <row r="150" spans="1:17" s="317" customFormat="1" x14ac:dyDescent="0.2">
      <c r="A150" s="328" t="s">
        <v>601</v>
      </c>
      <c r="B150" s="95" t="s">
        <v>263</v>
      </c>
      <c r="C150" s="1">
        <v>299</v>
      </c>
      <c r="D150" s="1" t="s">
        <v>257</v>
      </c>
      <c r="E150" s="12" t="s">
        <v>476</v>
      </c>
      <c r="F150" s="1" t="s">
        <v>308</v>
      </c>
      <c r="G150" s="1">
        <v>1</v>
      </c>
      <c r="H150" s="224"/>
      <c r="I150" s="18"/>
      <c r="J150" s="68"/>
      <c r="K150" s="13" t="s">
        <v>1367</v>
      </c>
      <c r="L150" s="13">
        <v>0.35</v>
      </c>
      <c r="M150" s="13">
        <v>18</v>
      </c>
      <c r="N150" s="18">
        <f t="shared" si="8"/>
        <v>6.3</v>
      </c>
      <c r="O150" s="18"/>
      <c r="P150" s="81"/>
      <c r="Q150" s="57">
        <f t="shared" si="9"/>
        <v>6.3</v>
      </c>
    </row>
    <row r="151" spans="1:17" s="317" customFormat="1" x14ac:dyDescent="0.2">
      <c r="A151" s="328" t="s">
        <v>602</v>
      </c>
      <c r="B151" s="212" t="s">
        <v>273</v>
      </c>
      <c r="C151" s="207">
        <v>301</v>
      </c>
      <c r="D151" s="207" t="s">
        <v>266</v>
      </c>
      <c r="E151" s="207" t="s">
        <v>272</v>
      </c>
      <c r="F151" s="207" t="s">
        <v>308</v>
      </c>
      <c r="G151" s="207">
        <v>1</v>
      </c>
      <c r="H151" s="330">
        <v>0.62</v>
      </c>
      <c r="I151" s="209"/>
      <c r="J151" s="209">
        <v>10</v>
      </c>
      <c r="K151" s="13"/>
      <c r="L151" s="13"/>
      <c r="M151" s="13"/>
      <c r="N151" s="18">
        <f t="shared" si="8"/>
        <v>0</v>
      </c>
      <c r="O151" s="209">
        <f>G151/H151</f>
        <v>1.6129032258064517</v>
      </c>
      <c r="P151" s="81">
        <f>O151*(I151+J151)*8</f>
        <v>129.03225806451613</v>
      </c>
      <c r="Q151" s="306">
        <f t="shared" si="9"/>
        <v>129.03225806451613</v>
      </c>
    </row>
    <row r="152" spans="1:17" s="317" customFormat="1" x14ac:dyDescent="0.2">
      <c r="A152" s="328" t="s">
        <v>603</v>
      </c>
      <c r="B152" s="212" t="s">
        <v>491</v>
      </c>
      <c r="C152" s="207">
        <v>301</v>
      </c>
      <c r="D152" s="207" t="s">
        <v>266</v>
      </c>
      <c r="E152" s="207" t="s">
        <v>272</v>
      </c>
      <c r="F152" s="207" t="s">
        <v>308</v>
      </c>
      <c r="G152" s="207">
        <v>1</v>
      </c>
      <c r="H152" s="330">
        <v>0.62</v>
      </c>
      <c r="I152" s="209"/>
      <c r="J152" s="209">
        <v>10</v>
      </c>
      <c r="K152" s="13"/>
      <c r="L152" s="13"/>
      <c r="M152" s="13"/>
      <c r="N152" s="18">
        <f t="shared" si="8"/>
        <v>0</v>
      </c>
      <c r="O152" s="209">
        <f>G152/H152</f>
        <v>1.6129032258064517</v>
      </c>
      <c r="P152" s="81">
        <f>O152*(I152+J152)*8</f>
        <v>129.03225806451613</v>
      </c>
      <c r="Q152" s="306">
        <f t="shared" si="9"/>
        <v>129.03225806451613</v>
      </c>
    </row>
    <row r="153" spans="1:17" s="317" customFormat="1" x14ac:dyDescent="0.2">
      <c r="A153" s="328" t="s">
        <v>604</v>
      </c>
      <c r="B153" s="212" t="s">
        <v>598</v>
      </c>
      <c r="C153" s="207">
        <v>305</v>
      </c>
      <c r="D153" s="207" t="s">
        <v>257</v>
      </c>
      <c r="E153" s="254" t="s">
        <v>476</v>
      </c>
      <c r="F153" s="207" t="s">
        <v>308</v>
      </c>
      <c r="G153" s="207">
        <v>1</v>
      </c>
      <c r="H153" s="330">
        <v>1.7</v>
      </c>
      <c r="I153" s="209">
        <v>10</v>
      </c>
      <c r="J153" s="209"/>
      <c r="K153" s="13" t="s">
        <v>234</v>
      </c>
      <c r="L153" s="13">
        <f>0.86*2</f>
        <v>1.72</v>
      </c>
      <c r="M153" s="13">
        <f>'PRECIOS INSUMOS 2015'!C$5</f>
        <v>2</v>
      </c>
      <c r="N153" s="18">
        <f t="shared" si="8"/>
        <v>3.44</v>
      </c>
      <c r="O153" s="209">
        <f>G153/H153</f>
        <v>0.58823529411764708</v>
      </c>
      <c r="P153" s="81">
        <f>O153*(I153+J153)*8</f>
        <v>47.058823529411768</v>
      </c>
      <c r="Q153" s="306">
        <f t="shared" si="9"/>
        <v>50.498823529411766</v>
      </c>
    </row>
    <row r="154" spans="1:17" s="317" customFormat="1" x14ac:dyDescent="0.2">
      <c r="A154" s="328" t="s">
        <v>605</v>
      </c>
      <c r="B154" s="95" t="s">
        <v>263</v>
      </c>
      <c r="C154" s="1">
        <v>305</v>
      </c>
      <c r="D154" s="1" t="s">
        <v>257</v>
      </c>
      <c r="E154" s="12" t="s">
        <v>476</v>
      </c>
      <c r="F154" s="1" t="s">
        <v>308</v>
      </c>
      <c r="G154" s="1">
        <v>1</v>
      </c>
      <c r="H154" s="224"/>
      <c r="I154" s="18"/>
      <c r="J154" s="68"/>
      <c r="K154" s="13" t="s">
        <v>1367</v>
      </c>
      <c r="L154" s="13">
        <v>0.35</v>
      </c>
      <c r="M154" s="13">
        <v>18</v>
      </c>
      <c r="N154" s="18">
        <f t="shared" si="8"/>
        <v>6.3</v>
      </c>
      <c r="O154" s="18"/>
      <c r="P154" s="81"/>
      <c r="Q154" s="57">
        <f t="shared" si="9"/>
        <v>6.3</v>
      </c>
    </row>
    <row r="155" spans="1:17" s="317" customFormat="1" x14ac:dyDescent="0.2">
      <c r="A155" s="328" t="s">
        <v>606</v>
      </c>
      <c r="B155" s="95" t="s">
        <v>275</v>
      </c>
      <c r="C155" s="207">
        <v>309</v>
      </c>
      <c r="D155" s="207" t="s">
        <v>266</v>
      </c>
      <c r="E155" s="207" t="s">
        <v>272</v>
      </c>
      <c r="F155" s="207" t="s">
        <v>308</v>
      </c>
      <c r="G155" s="207">
        <v>1</v>
      </c>
      <c r="H155" s="330">
        <v>2</v>
      </c>
      <c r="I155" s="209"/>
      <c r="J155" s="209">
        <v>10</v>
      </c>
      <c r="K155" s="13"/>
      <c r="L155" s="13"/>
      <c r="M155" s="13"/>
      <c r="N155" s="18">
        <f t="shared" si="8"/>
        <v>0</v>
      </c>
      <c r="O155" s="209">
        <f>G155/H155</f>
        <v>0.5</v>
      </c>
      <c r="P155" s="81">
        <f>O155*(I155+J155)*8</f>
        <v>40</v>
      </c>
      <c r="Q155" s="306">
        <f t="shared" si="9"/>
        <v>40</v>
      </c>
    </row>
    <row r="156" spans="1:17" s="317" customFormat="1" x14ac:dyDescent="0.2">
      <c r="A156" s="328" t="s">
        <v>607</v>
      </c>
      <c r="B156" s="212" t="s">
        <v>598</v>
      </c>
      <c r="C156" s="207">
        <v>312</v>
      </c>
      <c r="D156" s="207" t="s">
        <v>257</v>
      </c>
      <c r="E156" s="254" t="s">
        <v>476</v>
      </c>
      <c r="F156" s="207" t="s">
        <v>308</v>
      </c>
      <c r="G156" s="207">
        <v>1</v>
      </c>
      <c r="H156" s="330">
        <v>1.7</v>
      </c>
      <c r="I156" s="209">
        <v>10</v>
      </c>
      <c r="J156" s="209"/>
      <c r="K156" s="13" t="s">
        <v>234</v>
      </c>
      <c r="L156" s="13">
        <f>0.86*2</f>
        <v>1.72</v>
      </c>
      <c r="M156" s="13">
        <f>'PRECIOS INSUMOS 2015'!C$5</f>
        <v>2</v>
      </c>
      <c r="N156" s="18">
        <f t="shared" si="8"/>
        <v>3.44</v>
      </c>
      <c r="O156" s="209">
        <f>G156/H156</f>
        <v>0.58823529411764708</v>
      </c>
      <c r="P156" s="81">
        <f>O156*(I156+J156)*8</f>
        <v>47.058823529411768</v>
      </c>
      <c r="Q156" s="306">
        <f t="shared" si="9"/>
        <v>50.498823529411766</v>
      </c>
    </row>
    <row r="157" spans="1:17" s="317" customFormat="1" x14ac:dyDescent="0.2">
      <c r="A157" s="328" t="s">
        <v>608</v>
      </c>
      <c r="B157" s="95" t="s">
        <v>263</v>
      </c>
      <c r="C157" s="1">
        <v>312</v>
      </c>
      <c r="D157" s="1" t="s">
        <v>257</v>
      </c>
      <c r="E157" s="12" t="s">
        <v>476</v>
      </c>
      <c r="F157" s="1" t="s">
        <v>308</v>
      </c>
      <c r="G157" s="1">
        <v>1</v>
      </c>
      <c r="H157" s="224"/>
      <c r="I157" s="18"/>
      <c r="J157" s="68"/>
      <c r="K157" s="13" t="s">
        <v>1367</v>
      </c>
      <c r="L157" s="13">
        <v>0.35</v>
      </c>
      <c r="M157" s="13">
        <v>18</v>
      </c>
      <c r="N157" s="18">
        <f t="shared" si="8"/>
        <v>6.3</v>
      </c>
      <c r="O157" s="18"/>
      <c r="P157" s="81"/>
      <c r="Q157" s="57">
        <f t="shared" si="9"/>
        <v>6.3</v>
      </c>
    </row>
    <row r="158" spans="1:17" s="317" customFormat="1" x14ac:dyDescent="0.2">
      <c r="A158" s="328" t="s">
        <v>609</v>
      </c>
      <c r="B158" s="212" t="s">
        <v>598</v>
      </c>
      <c r="C158" s="207">
        <v>319</v>
      </c>
      <c r="D158" s="207" t="s">
        <v>257</v>
      </c>
      <c r="E158" s="254" t="s">
        <v>476</v>
      </c>
      <c r="F158" s="207" t="s">
        <v>308</v>
      </c>
      <c r="G158" s="207">
        <v>1</v>
      </c>
      <c r="H158" s="330">
        <v>1.7</v>
      </c>
      <c r="I158" s="209">
        <v>10</v>
      </c>
      <c r="J158" s="209"/>
      <c r="K158" s="13" t="s">
        <v>234</v>
      </c>
      <c r="L158" s="13">
        <f>0.86*2</f>
        <v>1.72</v>
      </c>
      <c r="M158" s="13">
        <f>'PRECIOS INSUMOS 2015'!C$5</f>
        <v>2</v>
      </c>
      <c r="N158" s="18">
        <f t="shared" si="8"/>
        <v>3.44</v>
      </c>
      <c r="O158" s="209">
        <f>G158/H158</f>
        <v>0.58823529411764708</v>
      </c>
      <c r="P158" s="81">
        <f>O158*(I158+J158)*8</f>
        <v>47.058823529411768</v>
      </c>
      <c r="Q158" s="306">
        <f t="shared" si="9"/>
        <v>50.498823529411766</v>
      </c>
    </row>
    <row r="159" spans="1:17" s="317" customFormat="1" x14ac:dyDescent="0.2">
      <c r="A159" s="328" t="s">
        <v>610</v>
      </c>
      <c r="B159" s="95" t="s">
        <v>263</v>
      </c>
      <c r="C159" s="1">
        <v>319</v>
      </c>
      <c r="D159" s="1" t="s">
        <v>257</v>
      </c>
      <c r="E159" s="12" t="s">
        <v>476</v>
      </c>
      <c r="F159" s="1" t="s">
        <v>308</v>
      </c>
      <c r="G159" s="1">
        <v>1</v>
      </c>
      <c r="H159" s="224"/>
      <c r="I159" s="18"/>
      <c r="J159" s="68"/>
      <c r="K159" s="13" t="s">
        <v>1367</v>
      </c>
      <c r="L159" s="13">
        <v>0.35</v>
      </c>
      <c r="M159" s="13">
        <v>18</v>
      </c>
      <c r="N159" s="18">
        <f t="shared" si="8"/>
        <v>6.3</v>
      </c>
      <c r="O159" s="18"/>
      <c r="P159" s="81"/>
      <c r="Q159" s="57">
        <f t="shared" si="9"/>
        <v>6.3</v>
      </c>
    </row>
    <row r="160" spans="1:17" s="317" customFormat="1" x14ac:dyDescent="0.2">
      <c r="A160" s="328" t="s">
        <v>611</v>
      </c>
      <c r="B160" s="212" t="s">
        <v>598</v>
      </c>
      <c r="C160" s="207">
        <v>326</v>
      </c>
      <c r="D160" s="207" t="s">
        <v>257</v>
      </c>
      <c r="E160" s="254" t="s">
        <v>476</v>
      </c>
      <c r="F160" s="207" t="s">
        <v>308</v>
      </c>
      <c r="G160" s="207">
        <v>1</v>
      </c>
      <c r="H160" s="330">
        <v>1.7</v>
      </c>
      <c r="I160" s="209">
        <v>10</v>
      </c>
      <c r="J160" s="209"/>
      <c r="K160" s="13" t="s">
        <v>234</v>
      </c>
      <c r="L160" s="13">
        <f>0.86*2</f>
        <v>1.72</v>
      </c>
      <c r="M160" s="13">
        <f>'PRECIOS INSUMOS 2015'!C$5</f>
        <v>2</v>
      </c>
      <c r="N160" s="18">
        <f t="shared" si="8"/>
        <v>3.44</v>
      </c>
      <c r="O160" s="209">
        <f>G160/H160</f>
        <v>0.58823529411764708</v>
      </c>
      <c r="P160" s="81">
        <f>O160*(I160+J160)*8</f>
        <v>47.058823529411768</v>
      </c>
      <c r="Q160" s="306">
        <f t="shared" si="9"/>
        <v>50.498823529411766</v>
      </c>
    </row>
    <row r="161" spans="1:18" s="317" customFormat="1" x14ac:dyDescent="0.2">
      <c r="A161" s="328" t="s">
        <v>612</v>
      </c>
      <c r="B161" s="95" t="s">
        <v>263</v>
      </c>
      <c r="C161" s="1">
        <v>326</v>
      </c>
      <c r="D161" s="1" t="s">
        <v>257</v>
      </c>
      <c r="E161" s="12" t="s">
        <v>476</v>
      </c>
      <c r="F161" s="1" t="s">
        <v>308</v>
      </c>
      <c r="G161" s="1">
        <v>1</v>
      </c>
      <c r="H161" s="224"/>
      <c r="I161" s="18"/>
      <c r="J161" s="68"/>
      <c r="K161" s="13" t="s">
        <v>1367</v>
      </c>
      <c r="L161" s="13">
        <v>0.35</v>
      </c>
      <c r="M161" s="13">
        <v>18</v>
      </c>
      <c r="N161" s="18">
        <f t="shared" si="8"/>
        <v>6.3</v>
      </c>
      <c r="O161" s="18"/>
      <c r="P161" s="81"/>
      <c r="Q161" s="57">
        <f t="shared" si="9"/>
        <v>6.3</v>
      </c>
    </row>
    <row r="162" spans="1:18" s="317" customFormat="1" x14ac:dyDescent="0.2">
      <c r="A162" s="328" t="s">
        <v>613</v>
      </c>
      <c r="B162" s="95" t="s">
        <v>507</v>
      </c>
      <c r="C162" s="207">
        <v>328</v>
      </c>
      <c r="D162" s="207" t="s">
        <v>266</v>
      </c>
      <c r="E162" s="207" t="s">
        <v>272</v>
      </c>
      <c r="F162" s="207" t="s">
        <v>308</v>
      </c>
      <c r="G162" s="207">
        <v>1</v>
      </c>
      <c r="H162" s="330">
        <v>2</v>
      </c>
      <c r="I162" s="209"/>
      <c r="J162" s="209">
        <v>10</v>
      </c>
      <c r="K162" s="13"/>
      <c r="L162" s="13"/>
      <c r="M162" s="13"/>
      <c r="N162" s="18">
        <f t="shared" si="8"/>
        <v>0</v>
      </c>
      <c r="O162" s="209">
        <f>G162/H162</f>
        <v>0.5</v>
      </c>
      <c r="P162" s="81">
        <f>O162*(I162+J162)*8</f>
        <v>40</v>
      </c>
      <c r="Q162" s="306">
        <f t="shared" si="9"/>
        <v>40</v>
      </c>
    </row>
    <row r="163" spans="1:18" s="317" customFormat="1" x14ac:dyDescent="0.2">
      <c r="A163" s="328" t="s">
        <v>614</v>
      </c>
      <c r="B163" s="212" t="s">
        <v>273</v>
      </c>
      <c r="C163" s="207">
        <v>330</v>
      </c>
      <c r="D163" s="207" t="s">
        <v>266</v>
      </c>
      <c r="E163" s="207" t="s">
        <v>272</v>
      </c>
      <c r="F163" s="207" t="s">
        <v>308</v>
      </c>
      <c r="G163" s="207">
        <v>1</v>
      </c>
      <c r="H163" s="330">
        <v>0.62</v>
      </c>
      <c r="I163" s="209"/>
      <c r="J163" s="209">
        <v>10</v>
      </c>
      <c r="K163" s="13"/>
      <c r="L163" s="13"/>
      <c r="M163" s="13"/>
      <c r="N163" s="18">
        <f t="shared" si="8"/>
        <v>0</v>
      </c>
      <c r="O163" s="209">
        <f>G163/H163</f>
        <v>1.6129032258064517</v>
      </c>
      <c r="P163" s="81">
        <f>O163*(I163+J163)*8</f>
        <v>129.03225806451613</v>
      </c>
      <c r="Q163" s="306">
        <f t="shared" si="9"/>
        <v>129.03225806451613</v>
      </c>
    </row>
    <row r="164" spans="1:18" s="317" customFormat="1" x14ac:dyDescent="0.2">
      <c r="A164" s="328" t="s">
        <v>615</v>
      </c>
      <c r="B164" s="212" t="s">
        <v>598</v>
      </c>
      <c r="C164" s="207">
        <v>333</v>
      </c>
      <c r="D164" s="207" t="s">
        <v>257</v>
      </c>
      <c r="E164" s="254" t="s">
        <v>476</v>
      </c>
      <c r="F164" s="207" t="s">
        <v>308</v>
      </c>
      <c r="G164" s="207">
        <v>1</v>
      </c>
      <c r="H164" s="330">
        <v>1.7</v>
      </c>
      <c r="I164" s="209">
        <v>10</v>
      </c>
      <c r="J164" s="209"/>
      <c r="K164" s="13" t="s">
        <v>234</v>
      </c>
      <c r="L164" s="13">
        <f>0.86*2</f>
        <v>1.72</v>
      </c>
      <c r="M164" s="13">
        <f>'PRECIOS INSUMOS 2015'!C$5</f>
        <v>2</v>
      </c>
      <c r="N164" s="18">
        <f t="shared" si="8"/>
        <v>3.44</v>
      </c>
      <c r="O164" s="209">
        <f>G164/H164</f>
        <v>0.58823529411764708</v>
      </c>
      <c r="P164" s="81">
        <f>O164*(I164+J164)*8</f>
        <v>47.058823529411768</v>
      </c>
      <c r="Q164" s="306">
        <f t="shared" si="9"/>
        <v>50.498823529411766</v>
      </c>
    </row>
    <row r="165" spans="1:18" s="317" customFormat="1" x14ac:dyDescent="0.2">
      <c r="A165" s="328" t="s">
        <v>616</v>
      </c>
      <c r="B165" s="95" t="s">
        <v>263</v>
      </c>
      <c r="C165" s="1">
        <v>333</v>
      </c>
      <c r="D165" s="1" t="s">
        <v>257</v>
      </c>
      <c r="E165" s="12" t="s">
        <v>476</v>
      </c>
      <c r="F165" s="1" t="s">
        <v>308</v>
      </c>
      <c r="G165" s="1">
        <v>1</v>
      </c>
      <c r="H165" s="224"/>
      <c r="I165" s="18"/>
      <c r="J165" s="68"/>
      <c r="K165" s="13" t="s">
        <v>1367</v>
      </c>
      <c r="L165" s="13">
        <v>0.35</v>
      </c>
      <c r="M165" s="13">
        <v>18</v>
      </c>
      <c r="N165" s="18">
        <f t="shared" si="8"/>
        <v>6.3</v>
      </c>
      <c r="O165" s="18"/>
      <c r="P165" s="81"/>
      <c r="Q165" s="57">
        <f t="shared" si="9"/>
        <v>6.3</v>
      </c>
    </row>
    <row r="166" spans="1:18" s="317" customFormat="1" x14ac:dyDescent="0.2">
      <c r="A166" s="328" t="s">
        <v>617</v>
      </c>
      <c r="B166" s="212" t="s">
        <v>924</v>
      </c>
      <c r="C166" s="207">
        <v>335</v>
      </c>
      <c r="D166" s="207" t="s">
        <v>266</v>
      </c>
      <c r="E166" s="207" t="s">
        <v>267</v>
      </c>
      <c r="F166" s="207" t="s">
        <v>308</v>
      </c>
      <c r="G166" s="207">
        <v>1</v>
      </c>
      <c r="H166" s="330">
        <v>0.5</v>
      </c>
      <c r="I166" s="209"/>
      <c r="J166" s="209">
        <v>10</v>
      </c>
      <c r="K166" s="13" t="s">
        <v>511</v>
      </c>
      <c r="L166" s="13">
        <v>2</v>
      </c>
      <c r="M166" s="13">
        <v>9.9700000000000006</v>
      </c>
      <c r="N166" s="18">
        <f t="shared" si="8"/>
        <v>19.940000000000001</v>
      </c>
      <c r="O166" s="209">
        <f>G166/H166</f>
        <v>2</v>
      </c>
      <c r="P166" s="81">
        <f>O166*(I166+J166)*8</f>
        <v>160</v>
      </c>
      <c r="Q166" s="306">
        <f t="shared" si="9"/>
        <v>179.94</v>
      </c>
    </row>
    <row r="167" spans="1:18" s="317" customFormat="1" x14ac:dyDescent="0.2">
      <c r="A167" s="328" t="s">
        <v>618</v>
      </c>
      <c r="B167" s="212" t="s">
        <v>598</v>
      </c>
      <c r="C167" s="207">
        <v>342</v>
      </c>
      <c r="D167" s="207" t="s">
        <v>257</v>
      </c>
      <c r="E167" s="254" t="s">
        <v>476</v>
      </c>
      <c r="F167" s="207" t="s">
        <v>308</v>
      </c>
      <c r="G167" s="207">
        <v>1</v>
      </c>
      <c r="H167" s="330">
        <v>1.7</v>
      </c>
      <c r="I167" s="209">
        <v>10</v>
      </c>
      <c r="J167" s="209"/>
      <c r="K167" s="13" t="s">
        <v>234</v>
      </c>
      <c r="L167" s="13">
        <f>0.86*2</f>
        <v>1.72</v>
      </c>
      <c r="M167" s="13">
        <f>'PRECIOS INSUMOS 2015'!C$5</f>
        <v>2</v>
      </c>
      <c r="N167" s="18">
        <f t="shared" si="8"/>
        <v>3.44</v>
      </c>
      <c r="O167" s="209">
        <f>G167/H167</f>
        <v>0.58823529411764708</v>
      </c>
      <c r="P167" s="81">
        <f>O167*(I167+J167)*8</f>
        <v>47.058823529411768</v>
      </c>
      <c r="Q167" s="306">
        <f t="shared" si="9"/>
        <v>50.498823529411766</v>
      </c>
    </row>
    <row r="168" spans="1:18" s="317" customFormat="1" x14ac:dyDescent="0.2">
      <c r="A168" s="328" t="s">
        <v>619</v>
      </c>
      <c r="B168" s="95" t="s">
        <v>263</v>
      </c>
      <c r="C168" s="1">
        <v>342</v>
      </c>
      <c r="D168" s="1" t="s">
        <v>257</v>
      </c>
      <c r="E168" s="12" t="s">
        <v>476</v>
      </c>
      <c r="F168" s="1" t="s">
        <v>308</v>
      </c>
      <c r="G168" s="1">
        <v>1</v>
      </c>
      <c r="H168" s="224"/>
      <c r="I168" s="18"/>
      <c r="J168" s="68"/>
      <c r="K168" s="13" t="s">
        <v>1367</v>
      </c>
      <c r="L168" s="13">
        <v>0.35</v>
      </c>
      <c r="M168" s="13">
        <v>18</v>
      </c>
      <c r="N168" s="18">
        <f t="shared" si="8"/>
        <v>6.3</v>
      </c>
      <c r="O168" s="18"/>
      <c r="P168" s="81"/>
      <c r="Q168" s="57">
        <f t="shared" si="9"/>
        <v>6.3</v>
      </c>
    </row>
    <row r="169" spans="1:18" s="317" customFormat="1" x14ac:dyDescent="0.2">
      <c r="A169" s="328" t="s">
        <v>620</v>
      </c>
      <c r="B169" s="95" t="s">
        <v>507</v>
      </c>
      <c r="C169" s="207">
        <v>344</v>
      </c>
      <c r="D169" s="207" t="s">
        <v>266</v>
      </c>
      <c r="E169" s="207" t="s">
        <v>272</v>
      </c>
      <c r="F169" s="207" t="s">
        <v>308</v>
      </c>
      <c r="G169" s="207">
        <v>1</v>
      </c>
      <c r="H169" s="330">
        <v>2</v>
      </c>
      <c r="I169" s="209"/>
      <c r="J169" s="209">
        <v>10</v>
      </c>
      <c r="K169" s="13"/>
      <c r="L169" s="13"/>
      <c r="M169" s="13"/>
      <c r="N169" s="18">
        <f t="shared" si="8"/>
        <v>0</v>
      </c>
      <c r="O169" s="209">
        <f>G169/H169</f>
        <v>0.5</v>
      </c>
      <c r="P169" s="81">
        <f>O169*(I169+J169)*8</f>
        <v>40</v>
      </c>
      <c r="Q169" s="306">
        <f t="shared" si="9"/>
        <v>40</v>
      </c>
    </row>
    <row r="170" spans="1:18" s="317" customFormat="1" x14ac:dyDescent="0.2">
      <c r="A170" s="328" t="s">
        <v>621</v>
      </c>
      <c r="B170" s="212" t="s">
        <v>598</v>
      </c>
      <c r="C170" s="207">
        <v>349</v>
      </c>
      <c r="D170" s="207" t="s">
        <v>257</v>
      </c>
      <c r="E170" s="254" t="s">
        <v>476</v>
      </c>
      <c r="F170" s="207" t="s">
        <v>308</v>
      </c>
      <c r="G170" s="207">
        <v>1</v>
      </c>
      <c r="H170" s="330">
        <v>1.7</v>
      </c>
      <c r="I170" s="209">
        <v>10</v>
      </c>
      <c r="J170" s="209"/>
      <c r="K170" s="13" t="s">
        <v>234</v>
      </c>
      <c r="L170" s="13">
        <f>0.86*2</f>
        <v>1.72</v>
      </c>
      <c r="M170" s="13">
        <f>'PRECIOS INSUMOS 2015'!C$5</f>
        <v>2</v>
      </c>
      <c r="N170" s="18">
        <f t="shared" si="8"/>
        <v>3.44</v>
      </c>
      <c r="O170" s="209">
        <f>G170/H170</f>
        <v>0.58823529411764708</v>
      </c>
      <c r="P170" s="81">
        <f>O170*(I170+J170)*8</f>
        <v>47.058823529411768</v>
      </c>
      <c r="Q170" s="306">
        <f t="shared" si="9"/>
        <v>50.498823529411766</v>
      </c>
    </row>
    <row r="171" spans="1:18" s="317" customFormat="1" x14ac:dyDescent="0.2">
      <c r="A171" s="328" t="s">
        <v>622</v>
      </c>
      <c r="B171" s="95" t="s">
        <v>263</v>
      </c>
      <c r="C171" s="1">
        <v>349</v>
      </c>
      <c r="D171" s="1" t="s">
        <v>257</v>
      </c>
      <c r="E171" s="12" t="s">
        <v>476</v>
      </c>
      <c r="F171" s="1" t="s">
        <v>308</v>
      </c>
      <c r="G171" s="1">
        <v>1</v>
      </c>
      <c r="H171" s="224"/>
      <c r="I171" s="18"/>
      <c r="J171" s="68"/>
      <c r="K171" s="13" t="s">
        <v>1367</v>
      </c>
      <c r="L171" s="13">
        <v>0.35</v>
      </c>
      <c r="M171" s="13">
        <v>18</v>
      </c>
      <c r="N171" s="18">
        <f t="shared" si="8"/>
        <v>6.3</v>
      </c>
      <c r="O171" s="18"/>
      <c r="P171" s="81"/>
      <c r="Q171" s="57">
        <f t="shared" si="9"/>
        <v>6.3</v>
      </c>
    </row>
    <row r="172" spans="1:18" s="317" customFormat="1" x14ac:dyDescent="0.2">
      <c r="A172" s="328" t="s">
        <v>623</v>
      </c>
      <c r="B172" s="212" t="s">
        <v>598</v>
      </c>
      <c r="C172" s="207">
        <v>356</v>
      </c>
      <c r="D172" s="207" t="s">
        <v>257</v>
      </c>
      <c r="E172" s="254" t="s">
        <v>476</v>
      </c>
      <c r="F172" s="207" t="s">
        <v>308</v>
      </c>
      <c r="G172" s="207">
        <v>1</v>
      </c>
      <c r="H172" s="330">
        <v>1.7</v>
      </c>
      <c r="I172" s="209">
        <v>10</v>
      </c>
      <c r="J172" s="209"/>
      <c r="K172" s="13" t="s">
        <v>234</v>
      </c>
      <c r="L172" s="13">
        <f>0.86*2</f>
        <v>1.72</v>
      </c>
      <c r="M172" s="13">
        <f>'PRECIOS INSUMOS 2015'!C$5</f>
        <v>2</v>
      </c>
      <c r="N172" s="18">
        <f t="shared" si="8"/>
        <v>3.44</v>
      </c>
      <c r="O172" s="209">
        <f>G172/H172</f>
        <v>0.58823529411764708</v>
      </c>
      <c r="P172" s="81">
        <f>O172*(I172+J172)*8</f>
        <v>47.058823529411768</v>
      </c>
      <c r="Q172" s="306">
        <f t="shared" si="9"/>
        <v>50.498823529411766</v>
      </c>
    </row>
    <row r="173" spans="1:18" s="317" customFormat="1" x14ac:dyDescent="0.2">
      <c r="A173" s="328" t="s">
        <v>624</v>
      </c>
      <c r="B173" s="95" t="s">
        <v>263</v>
      </c>
      <c r="C173" s="1">
        <v>356</v>
      </c>
      <c r="D173" s="1" t="s">
        <v>257</v>
      </c>
      <c r="E173" s="12" t="s">
        <v>476</v>
      </c>
      <c r="F173" s="1" t="s">
        <v>308</v>
      </c>
      <c r="G173" s="1">
        <v>1</v>
      </c>
      <c r="H173" s="224"/>
      <c r="I173" s="18"/>
      <c r="J173" s="68"/>
      <c r="K173" s="13" t="s">
        <v>1367</v>
      </c>
      <c r="L173" s="13">
        <v>0.35</v>
      </c>
      <c r="M173" s="13">
        <v>18</v>
      </c>
      <c r="N173" s="18">
        <f t="shared" si="8"/>
        <v>6.3</v>
      </c>
      <c r="O173" s="18"/>
      <c r="P173" s="81"/>
      <c r="Q173" s="57">
        <f t="shared" si="9"/>
        <v>6.3</v>
      </c>
    </row>
    <row r="174" spans="1:18" s="317" customFormat="1" x14ac:dyDescent="0.2">
      <c r="A174" s="328" t="s">
        <v>625</v>
      </c>
      <c r="B174" s="212" t="s">
        <v>273</v>
      </c>
      <c r="C174" s="207">
        <v>358</v>
      </c>
      <c r="D174" s="207" t="s">
        <v>266</v>
      </c>
      <c r="E174" s="207" t="s">
        <v>272</v>
      </c>
      <c r="F174" s="207" t="s">
        <v>308</v>
      </c>
      <c r="G174" s="207">
        <v>1</v>
      </c>
      <c r="H174" s="330">
        <v>0.62</v>
      </c>
      <c r="I174" s="209"/>
      <c r="J174" s="209">
        <v>10</v>
      </c>
      <c r="K174" s="13"/>
      <c r="L174" s="13"/>
      <c r="M174" s="13"/>
      <c r="N174" s="18">
        <f t="shared" si="8"/>
        <v>0</v>
      </c>
      <c r="O174" s="209">
        <f>G174/H174</f>
        <v>1.6129032258064517</v>
      </c>
      <c r="P174" s="81">
        <f>O174*(I174+J174)*8</f>
        <v>129.03225806451613</v>
      </c>
      <c r="Q174" s="306">
        <f t="shared" si="9"/>
        <v>129.03225806451613</v>
      </c>
    </row>
    <row r="175" spans="1:18" ht="13.5" thickBot="1" x14ac:dyDescent="0.25">
      <c r="A175" s="250"/>
      <c r="B175" s="240"/>
      <c r="C175" s="237"/>
      <c r="D175" s="207"/>
      <c r="E175" s="207"/>
      <c r="F175" s="207"/>
      <c r="G175" s="207"/>
      <c r="H175" s="329"/>
      <c r="I175" s="241"/>
      <c r="J175" s="241"/>
      <c r="K175" s="237"/>
      <c r="L175" s="241"/>
      <c r="M175" s="241"/>
      <c r="N175" s="314"/>
      <c r="O175" s="241"/>
      <c r="P175" s="220"/>
      <c r="Q175" s="306">
        <f t="shared" si="9"/>
        <v>0</v>
      </c>
    </row>
    <row r="176" spans="1:18" ht="13.5" thickBot="1" x14ac:dyDescent="0.25">
      <c r="A176" s="2149" t="s">
        <v>626</v>
      </c>
      <c r="B176" s="2150"/>
      <c r="C176" s="2150"/>
      <c r="D176" s="2150"/>
      <c r="E176" s="2151"/>
      <c r="F176" s="2151"/>
      <c r="G176" s="2151"/>
      <c r="H176" s="339"/>
      <c r="I176" s="340"/>
      <c r="J176" s="340"/>
      <c r="K176" s="14" t="s">
        <v>290</v>
      </c>
      <c r="L176" s="15">
        <f>53*58</f>
        <v>3074</v>
      </c>
      <c r="M176" s="14">
        <v>0.17</v>
      </c>
      <c r="N176" s="18">
        <f>L176*M176</f>
        <v>522.58000000000004</v>
      </c>
      <c r="O176" s="341"/>
      <c r="P176" s="255"/>
      <c r="Q176" s="306">
        <f t="shared" si="9"/>
        <v>522.58000000000004</v>
      </c>
      <c r="R176" s="249"/>
    </row>
    <row r="177" spans="1:18" ht="13.5" thickBot="1" x14ac:dyDescent="0.25">
      <c r="A177" s="2152" t="s">
        <v>219</v>
      </c>
      <c r="B177" s="2153"/>
      <c r="C177" s="16"/>
      <c r="D177" s="342"/>
      <c r="E177" s="342"/>
      <c r="F177" s="342"/>
      <c r="G177" s="342">
        <v>1</v>
      </c>
      <c r="H177" s="343"/>
      <c r="I177" s="209">
        <v>10</v>
      </c>
      <c r="J177" s="209">
        <v>10</v>
      </c>
      <c r="K177" s="344"/>
      <c r="L177" s="19"/>
      <c r="M177" s="19"/>
      <c r="N177" s="83">
        <f>SUM(N9:N176)</f>
        <v>4524.0103576751208</v>
      </c>
      <c r="O177" s="19">
        <f>SUM(O9:O176)</f>
        <v>169.75787614077913</v>
      </c>
      <c r="P177" s="345">
        <f>I177*O177*8</f>
        <v>13580.63009126233</v>
      </c>
      <c r="Q177" s="19">
        <f>SUM(Q9:Q176)</f>
        <v>18104.640448937389</v>
      </c>
      <c r="R177" s="249"/>
    </row>
    <row r="181" spans="1:18" x14ac:dyDescent="0.2">
      <c r="L181" s="286"/>
    </row>
  </sheetData>
  <autoFilter ref="A7:R177"/>
  <mergeCells count="20">
    <mergeCell ref="O5:O7"/>
    <mergeCell ref="H5:H7"/>
    <mergeCell ref="O4:Q4"/>
    <mergeCell ref="A176:G176"/>
    <mergeCell ref="A177:B177"/>
    <mergeCell ref="A4:A7"/>
    <mergeCell ref="B4:B7"/>
    <mergeCell ref="G5:G7"/>
    <mergeCell ref="F6:F7"/>
    <mergeCell ref="C4:C7"/>
    <mergeCell ref="P5:P7"/>
    <mergeCell ref="I5:J6"/>
    <mergeCell ref="Q5:Q7"/>
    <mergeCell ref="D4:N4"/>
    <mergeCell ref="K5:N6"/>
    <mergeCell ref="A1:Q1"/>
    <mergeCell ref="A2:Q2"/>
    <mergeCell ref="A3:D3"/>
    <mergeCell ref="E3:I3"/>
    <mergeCell ref="M3:O3"/>
  </mergeCells>
  <phoneticPr fontId="0" type="noConversion"/>
  <pageMargins left="0.59055118110236227" right="0" top="0.39370078740157483" bottom="0.39370078740157483" header="0.15748031496062992" footer="0"/>
  <pageSetup orientation="landscape" horizontalDpi="180" verticalDpi="180" r:id="rId1"/>
  <headerFooter alignWithMargins="0"/>
  <rowBreaks count="1" manualBreakCount="1">
    <brk id="160" max="16" man="1"/>
  </rowBreaks>
  <colBreaks count="1" manualBreakCount="1">
    <brk id="18" max="1048575" man="1"/>
  </col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R181"/>
  <sheetViews>
    <sheetView showGridLines="0" showZeros="0" defaultGridColor="0" colorId="23" workbookViewId="0">
      <selection activeCell="K10" sqref="K10"/>
    </sheetView>
  </sheetViews>
  <sheetFormatPr baseColWidth="10" defaultColWidth="11.42578125" defaultRowHeight="12.75" x14ac:dyDescent="0.2"/>
  <cols>
    <col min="1" max="1" width="4.42578125" style="282" customWidth="1"/>
    <col min="2" max="2" width="18.7109375" style="283" customWidth="1"/>
    <col min="3" max="3" width="4.5703125" style="283" customWidth="1"/>
    <col min="4" max="4" width="7.28515625" style="282" customWidth="1"/>
    <col min="5" max="5" width="10.7109375" style="282" customWidth="1"/>
    <col min="6" max="6" width="5.7109375" style="282" customWidth="1"/>
    <col min="7" max="7" width="5.42578125" style="282" customWidth="1"/>
    <col min="8" max="8" width="6.7109375" style="286" customWidth="1"/>
    <col min="9" max="10" width="6.28515625" style="288" customWidth="1"/>
    <col min="11" max="11" width="11.28515625" style="283" customWidth="1"/>
    <col min="12" max="12" width="7" style="288" customWidth="1"/>
    <col min="13" max="13" width="7.7109375" style="286" customWidth="1"/>
    <col min="14" max="14" width="7.7109375" style="326" customWidth="1"/>
    <col min="15" max="15" width="7.28515625" style="288" customWidth="1"/>
    <col min="16" max="16" width="7.7109375" style="290" customWidth="1"/>
    <col min="17" max="17" width="8.7109375" style="288" customWidth="1"/>
    <col min="18" max="18" width="9.28515625" style="191" customWidth="1"/>
    <col min="19" max="16384" width="11.42578125" style="191"/>
  </cols>
  <sheetData>
    <row r="1" spans="1:17" ht="20.25" x14ac:dyDescent="0.3">
      <c r="A1" s="2062" t="s">
        <v>231</v>
      </c>
      <c r="B1" s="2063"/>
      <c r="C1" s="2063"/>
      <c r="D1" s="2063"/>
      <c r="E1" s="2063"/>
      <c r="F1" s="2063"/>
      <c r="G1" s="2063"/>
      <c r="H1" s="2213"/>
      <c r="I1" s="2063"/>
      <c r="J1" s="2063"/>
      <c r="K1" s="2063"/>
      <c r="L1" s="2063"/>
      <c r="M1" s="2063"/>
      <c r="N1" s="2065"/>
      <c r="O1" s="2063"/>
      <c r="P1" s="2063"/>
      <c r="Q1" s="2066"/>
    </row>
    <row r="2" spans="1:17" ht="15.75" x14ac:dyDescent="0.25">
      <c r="A2" s="2067" t="s">
        <v>630</v>
      </c>
      <c r="B2" s="2068"/>
      <c r="C2" s="2068"/>
      <c r="D2" s="2068"/>
      <c r="E2" s="2068"/>
      <c r="F2" s="2068"/>
      <c r="G2" s="2068"/>
      <c r="H2" s="2214"/>
      <c r="I2" s="2068"/>
      <c r="J2" s="2068"/>
      <c r="K2" s="2068"/>
      <c r="L2" s="2068"/>
      <c r="M2" s="2068"/>
      <c r="N2" s="2070"/>
      <c r="O2" s="2068"/>
      <c r="P2" s="2068"/>
      <c r="Q2" s="2071"/>
    </row>
    <row r="3" spans="1:17" ht="16.5" thickBot="1" x14ac:dyDescent="0.3">
      <c r="A3" s="2072" t="s">
        <v>920</v>
      </c>
      <c r="B3" s="2073"/>
      <c r="C3" s="2073"/>
      <c r="D3" s="2073"/>
      <c r="E3" s="2220"/>
      <c r="F3" s="2220"/>
      <c r="G3" s="192"/>
      <c r="H3" s="192" t="s">
        <v>277</v>
      </c>
      <c r="I3" s="192"/>
      <c r="J3" s="291">
        <f>DATOS!D10</f>
        <v>16011.288827555558</v>
      </c>
      <c r="K3" s="273" t="s">
        <v>278</v>
      </c>
      <c r="L3" s="195"/>
      <c r="M3" s="2077" t="s">
        <v>279</v>
      </c>
      <c r="N3" s="2215"/>
      <c r="O3" s="2077"/>
      <c r="P3" s="89"/>
      <c r="Q3" s="20"/>
    </row>
    <row r="4" spans="1:17" ht="13.5" thickBot="1" x14ac:dyDescent="0.25">
      <c r="A4" s="2102" t="s">
        <v>223</v>
      </c>
      <c r="B4" s="2110" t="s">
        <v>224</v>
      </c>
      <c r="C4" s="2141" t="s">
        <v>252</v>
      </c>
      <c r="D4" s="2056" t="s">
        <v>216</v>
      </c>
      <c r="E4" s="2057"/>
      <c r="F4" s="2057"/>
      <c r="G4" s="2057"/>
      <c r="H4" s="2211"/>
      <c r="I4" s="2057"/>
      <c r="J4" s="2057"/>
      <c r="K4" s="2057"/>
      <c r="L4" s="2057"/>
      <c r="M4" s="2057"/>
      <c r="N4" s="2212"/>
      <c r="O4" s="2057" t="s">
        <v>217</v>
      </c>
      <c r="P4" s="2057"/>
      <c r="Q4" s="2059"/>
    </row>
    <row r="5" spans="1:17" x14ac:dyDescent="0.2">
      <c r="A5" s="2102"/>
      <c r="B5" s="2110"/>
      <c r="C5" s="2116"/>
      <c r="D5" s="51"/>
      <c r="E5" s="93"/>
      <c r="F5" s="51"/>
      <c r="G5" s="2081" t="s">
        <v>287</v>
      </c>
      <c r="H5" s="2137" t="s">
        <v>288</v>
      </c>
      <c r="I5" s="2089" t="s">
        <v>235</v>
      </c>
      <c r="J5" s="2091"/>
      <c r="K5" s="2089" t="s">
        <v>218</v>
      </c>
      <c r="L5" s="2090"/>
      <c r="M5" s="2090"/>
      <c r="N5" s="2113"/>
      <c r="O5" s="2144" t="s">
        <v>221</v>
      </c>
      <c r="P5" s="2097" t="s">
        <v>222</v>
      </c>
      <c r="Q5" s="2217" t="s">
        <v>296</v>
      </c>
    </row>
    <row r="6" spans="1:17" ht="13.5" thickBot="1" x14ac:dyDescent="0.25">
      <c r="A6" s="2102"/>
      <c r="B6" s="2110"/>
      <c r="C6" s="2116"/>
      <c r="D6" s="32" t="s">
        <v>236</v>
      </c>
      <c r="E6" s="91" t="s">
        <v>237</v>
      </c>
      <c r="F6" s="2095" t="s">
        <v>226</v>
      </c>
      <c r="G6" s="2082"/>
      <c r="H6" s="2138"/>
      <c r="I6" s="2092"/>
      <c r="J6" s="2094"/>
      <c r="K6" s="2092"/>
      <c r="L6" s="2093"/>
      <c r="M6" s="2093"/>
      <c r="N6" s="2094"/>
      <c r="O6" s="2145"/>
      <c r="P6" s="2098"/>
      <c r="Q6" s="2218"/>
    </row>
    <row r="7" spans="1:17" ht="13.5" thickBot="1" x14ac:dyDescent="0.25">
      <c r="A7" s="2102"/>
      <c r="B7" s="2110"/>
      <c r="C7" s="2116"/>
      <c r="D7" s="32" t="s">
        <v>238</v>
      </c>
      <c r="E7" s="91" t="s">
        <v>238</v>
      </c>
      <c r="F7" s="2095"/>
      <c r="G7" s="2082"/>
      <c r="H7" s="2138"/>
      <c r="I7" s="51" t="s">
        <v>239</v>
      </c>
      <c r="J7" s="31" t="s">
        <v>240</v>
      </c>
      <c r="K7" s="51" t="s">
        <v>225</v>
      </c>
      <c r="L7" s="51" t="s">
        <v>220</v>
      </c>
      <c r="M7" s="99" t="s">
        <v>227</v>
      </c>
      <c r="N7" s="31" t="s">
        <v>241</v>
      </c>
      <c r="O7" s="2109"/>
      <c r="P7" s="2216"/>
      <c r="Q7" s="2219"/>
    </row>
    <row r="8" spans="1:17" s="196" customFormat="1" x14ac:dyDescent="0.2">
      <c r="A8" s="69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 t="s">
        <v>298</v>
      </c>
      <c r="O8" s="70" t="s">
        <v>299</v>
      </c>
      <c r="P8" s="70" t="s">
        <v>300</v>
      </c>
      <c r="Q8" s="71" t="s">
        <v>470</v>
      </c>
    </row>
    <row r="9" spans="1:17" x14ac:dyDescent="0.2">
      <c r="A9" s="205" t="s">
        <v>441</v>
      </c>
      <c r="B9" s="254" t="s">
        <v>253</v>
      </c>
      <c r="C9" s="207">
        <v>-40</v>
      </c>
      <c r="D9" s="207" t="s">
        <v>254</v>
      </c>
      <c r="E9" s="207" t="s">
        <v>255</v>
      </c>
      <c r="F9" s="207" t="s">
        <v>308</v>
      </c>
      <c r="G9" s="207">
        <v>1</v>
      </c>
      <c r="H9" s="241">
        <v>1.25</v>
      </c>
      <c r="I9" s="209">
        <v>10</v>
      </c>
      <c r="J9" s="209"/>
      <c r="K9" s="237" t="s">
        <v>234</v>
      </c>
      <c r="L9" s="241">
        <v>32.4</v>
      </c>
      <c r="M9" s="209">
        <f>'PRECIOS INSUMOS 2015'!C$5</f>
        <v>2</v>
      </c>
      <c r="N9" s="18">
        <f t="shared" ref="N9:N21" si="0">L9*M9</f>
        <v>64.8</v>
      </c>
      <c r="O9" s="209">
        <f t="shared" ref="O9:O22" si="1">G9/H9</f>
        <v>0.8</v>
      </c>
      <c r="P9" s="81">
        <f t="shared" ref="P9:P22" si="2">(I9+J9)*8*O9</f>
        <v>64</v>
      </c>
      <c r="Q9" s="221">
        <f t="shared" ref="Q9:Q26" si="3">N9+P9</f>
        <v>128.80000000000001</v>
      </c>
    </row>
    <row r="10" spans="1:17" x14ac:dyDescent="0.2">
      <c r="A10" s="205" t="s">
        <v>442</v>
      </c>
      <c r="B10" s="254" t="s">
        <v>256</v>
      </c>
      <c r="C10" s="207">
        <v>-33</v>
      </c>
      <c r="D10" s="207" t="s">
        <v>257</v>
      </c>
      <c r="E10" s="207" t="s">
        <v>329</v>
      </c>
      <c r="F10" s="207" t="s">
        <v>308</v>
      </c>
      <c r="G10" s="207">
        <v>1</v>
      </c>
      <c r="H10" s="241">
        <v>4</v>
      </c>
      <c r="I10" s="209">
        <v>10</v>
      </c>
      <c r="J10" s="209"/>
      <c r="K10" s="237" t="s">
        <v>234</v>
      </c>
      <c r="L10" s="241">
        <v>3.12</v>
      </c>
      <c r="M10" s="209">
        <f>'PRECIOS INSUMOS 2015'!C$5</f>
        <v>2</v>
      </c>
      <c r="N10" s="18">
        <f t="shared" si="0"/>
        <v>6.24</v>
      </c>
      <c r="O10" s="209">
        <f t="shared" si="1"/>
        <v>0.25</v>
      </c>
      <c r="P10" s="81">
        <f t="shared" si="2"/>
        <v>20</v>
      </c>
      <c r="Q10" s="221">
        <f t="shared" si="3"/>
        <v>26.240000000000002</v>
      </c>
    </row>
    <row r="11" spans="1:17" x14ac:dyDescent="0.2">
      <c r="A11" s="205" t="s">
        <v>443</v>
      </c>
      <c r="B11" s="254" t="s">
        <v>258</v>
      </c>
      <c r="C11" s="207">
        <v>-23</v>
      </c>
      <c r="D11" s="207" t="s">
        <v>483</v>
      </c>
      <c r="E11" s="207" t="s">
        <v>255</v>
      </c>
      <c r="F11" s="207" t="s">
        <v>308</v>
      </c>
      <c r="G11" s="207">
        <v>1</v>
      </c>
      <c r="H11" s="241">
        <v>1.25</v>
      </c>
      <c r="I11" s="209">
        <v>10</v>
      </c>
      <c r="J11" s="209"/>
      <c r="K11" s="237" t="s">
        <v>234</v>
      </c>
      <c r="L11" s="241">
        <v>32.4</v>
      </c>
      <c r="M11" s="209">
        <f>'PRECIOS INSUMOS 2015'!C$5</f>
        <v>2</v>
      </c>
      <c r="N11" s="18">
        <f t="shared" si="0"/>
        <v>64.8</v>
      </c>
      <c r="O11" s="209">
        <f t="shared" si="1"/>
        <v>0.8</v>
      </c>
      <c r="P11" s="81">
        <f t="shared" si="2"/>
        <v>64</v>
      </c>
      <c r="Q11" s="221">
        <f t="shared" si="3"/>
        <v>128.80000000000001</v>
      </c>
    </row>
    <row r="12" spans="1:17" x14ac:dyDescent="0.2">
      <c r="A12" s="205" t="s">
        <v>444</v>
      </c>
      <c r="B12" s="254" t="s">
        <v>256</v>
      </c>
      <c r="C12" s="207">
        <v>-21</v>
      </c>
      <c r="D12" s="207" t="s">
        <v>257</v>
      </c>
      <c r="E12" s="207" t="s">
        <v>329</v>
      </c>
      <c r="F12" s="207" t="s">
        <v>308</v>
      </c>
      <c r="G12" s="207">
        <v>1</v>
      </c>
      <c r="H12" s="241">
        <v>4</v>
      </c>
      <c r="I12" s="209">
        <v>10</v>
      </c>
      <c r="J12" s="209"/>
      <c r="K12" s="237" t="s">
        <v>234</v>
      </c>
      <c r="L12" s="241">
        <v>3.12</v>
      </c>
      <c r="M12" s="209">
        <f>'PRECIOS INSUMOS 2015'!C$5</f>
        <v>2</v>
      </c>
      <c r="N12" s="18">
        <f t="shared" si="0"/>
        <v>6.24</v>
      </c>
      <c r="O12" s="209">
        <f t="shared" si="1"/>
        <v>0.25</v>
      </c>
      <c r="P12" s="81">
        <f t="shared" si="2"/>
        <v>20</v>
      </c>
      <c r="Q12" s="221">
        <f t="shared" si="3"/>
        <v>26.240000000000002</v>
      </c>
    </row>
    <row r="13" spans="1:17" x14ac:dyDescent="0.2">
      <c r="A13" s="205" t="s">
        <v>445</v>
      </c>
      <c r="B13" s="254" t="s">
        <v>259</v>
      </c>
      <c r="C13" s="207">
        <v>-19</v>
      </c>
      <c r="D13" s="207" t="s">
        <v>483</v>
      </c>
      <c r="E13" s="207" t="s">
        <v>260</v>
      </c>
      <c r="F13" s="207" t="s">
        <v>308</v>
      </c>
      <c r="G13" s="207">
        <v>1</v>
      </c>
      <c r="H13" s="241">
        <v>0.21</v>
      </c>
      <c r="I13" s="209">
        <v>10</v>
      </c>
      <c r="J13" s="209"/>
      <c r="K13" s="237" t="s">
        <v>234</v>
      </c>
      <c r="L13" s="241">
        <v>20.190000000000001</v>
      </c>
      <c r="M13" s="209">
        <f>'PRECIOS INSUMOS 2015'!C$5</f>
        <v>2</v>
      </c>
      <c r="N13" s="18">
        <f t="shared" si="0"/>
        <v>40.380000000000003</v>
      </c>
      <c r="O13" s="209">
        <f t="shared" si="1"/>
        <v>4.7619047619047619</v>
      </c>
      <c r="P13" s="81">
        <f t="shared" si="2"/>
        <v>380.95238095238096</v>
      </c>
      <c r="Q13" s="221">
        <f t="shared" si="3"/>
        <v>421.33238095238096</v>
      </c>
    </row>
    <row r="14" spans="1:17" x14ac:dyDescent="0.2">
      <c r="A14" s="205" t="s">
        <v>446</v>
      </c>
      <c r="B14" s="254" t="s">
        <v>245</v>
      </c>
      <c r="C14" s="207">
        <v>-18</v>
      </c>
      <c r="D14" s="207" t="s">
        <v>254</v>
      </c>
      <c r="E14" s="207" t="s">
        <v>484</v>
      </c>
      <c r="F14" s="207" t="s">
        <v>308</v>
      </c>
      <c r="G14" s="207">
        <v>1</v>
      </c>
      <c r="H14" s="241">
        <v>1.25</v>
      </c>
      <c r="I14" s="209"/>
      <c r="J14" s="209"/>
      <c r="K14" s="237" t="s">
        <v>234</v>
      </c>
      <c r="L14" s="241">
        <v>7.36</v>
      </c>
      <c r="M14" s="209">
        <f>'PRECIOS INSUMOS 2015'!C$5</f>
        <v>2</v>
      </c>
      <c r="N14" s="18">
        <f t="shared" si="0"/>
        <v>14.72</v>
      </c>
      <c r="O14" s="209">
        <f t="shared" si="1"/>
        <v>0.8</v>
      </c>
      <c r="P14" s="81">
        <f t="shared" si="2"/>
        <v>0</v>
      </c>
      <c r="Q14" s="221">
        <f t="shared" si="3"/>
        <v>14.72</v>
      </c>
    </row>
    <row r="15" spans="1:17" x14ac:dyDescent="0.2">
      <c r="A15" s="205" t="s">
        <v>447</v>
      </c>
      <c r="B15" s="254" t="s">
        <v>261</v>
      </c>
      <c r="C15" s="207">
        <v>-15</v>
      </c>
      <c r="D15" s="207" t="s">
        <v>483</v>
      </c>
      <c r="E15" s="207" t="s">
        <v>255</v>
      </c>
      <c r="F15" s="207" t="s">
        <v>308</v>
      </c>
      <c r="G15" s="207">
        <v>1</v>
      </c>
      <c r="H15" s="241">
        <v>1.25</v>
      </c>
      <c r="I15" s="209">
        <v>10</v>
      </c>
      <c r="J15" s="209"/>
      <c r="K15" s="237" t="s">
        <v>234</v>
      </c>
      <c r="L15" s="241">
        <v>32.4</v>
      </c>
      <c r="M15" s="209">
        <f>'PRECIOS INSUMOS 2015'!C$5</f>
        <v>2</v>
      </c>
      <c r="N15" s="18">
        <f t="shared" si="0"/>
        <v>64.8</v>
      </c>
      <c r="O15" s="209">
        <f t="shared" si="1"/>
        <v>0.8</v>
      </c>
      <c r="P15" s="81">
        <f t="shared" si="2"/>
        <v>64</v>
      </c>
      <c r="Q15" s="221">
        <f t="shared" si="3"/>
        <v>128.80000000000001</v>
      </c>
    </row>
    <row r="16" spans="1:17" x14ac:dyDescent="0.2">
      <c r="A16" s="205" t="s">
        <v>448</v>
      </c>
      <c r="B16" s="254" t="s">
        <v>256</v>
      </c>
      <c r="C16" s="207">
        <v>-7</v>
      </c>
      <c r="D16" s="207" t="s">
        <v>257</v>
      </c>
      <c r="E16" s="207" t="s">
        <v>329</v>
      </c>
      <c r="F16" s="207" t="s">
        <v>308</v>
      </c>
      <c r="G16" s="207">
        <v>1</v>
      </c>
      <c r="H16" s="241">
        <v>4</v>
      </c>
      <c r="I16" s="209">
        <v>10</v>
      </c>
      <c r="J16" s="209"/>
      <c r="K16" s="237" t="s">
        <v>234</v>
      </c>
      <c r="L16" s="241">
        <v>3.12</v>
      </c>
      <c r="M16" s="209">
        <f>'PRECIOS INSUMOS 2015'!C$5</f>
        <v>2</v>
      </c>
      <c r="N16" s="18">
        <f t="shared" si="0"/>
        <v>6.24</v>
      </c>
      <c r="O16" s="209">
        <f t="shared" si="1"/>
        <v>0.25</v>
      </c>
      <c r="P16" s="81">
        <f t="shared" si="2"/>
        <v>20</v>
      </c>
      <c r="Q16" s="221">
        <f t="shared" si="3"/>
        <v>26.240000000000002</v>
      </c>
    </row>
    <row r="17" spans="1:17" x14ac:dyDescent="0.2">
      <c r="A17" s="205" t="s">
        <v>449</v>
      </c>
      <c r="B17" s="254" t="s">
        <v>485</v>
      </c>
      <c r="C17" s="207">
        <v>-5</v>
      </c>
      <c r="D17" s="207" t="s">
        <v>483</v>
      </c>
      <c r="E17" s="207" t="s">
        <v>262</v>
      </c>
      <c r="F17" s="207" t="s">
        <v>308</v>
      </c>
      <c r="G17" s="207">
        <v>1</v>
      </c>
      <c r="H17" s="241">
        <v>4</v>
      </c>
      <c r="I17" s="209">
        <v>10</v>
      </c>
      <c r="J17" s="209"/>
      <c r="K17" s="237" t="s">
        <v>234</v>
      </c>
      <c r="L17" s="241">
        <v>10.199999999999999</v>
      </c>
      <c r="M17" s="209">
        <f>'PRECIOS INSUMOS 2015'!C$5</f>
        <v>2</v>
      </c>
      <c r="N17" s="18">
        <f t="shared" si="0"/>
        <v>20.399999999999999</v>
      </c>
      <c r="O17" s="209">
        <f t="shared" si="1"/>
        <v>0.25</v>
      </c>
      <c r="P17" s="81">
        <f t="shared" si="2"/>
        <v>20</v>
      </c>
      <c r="Q17" s="221">
        <f t="shared" si="3"/>
        <v>40.4</v>
      </c>
    </row>
    <row r="18" spans="1:17" x14ac:dyDescent="0.2">
      <c r="A18" s="205" t="s">
        <v>337</v>
      </c>
      <c r="B18" s="206" t="s">
        <v>486</v>
      </c>
      <c r="C18" s="207">
        <v>-4</v>
      </c>
      <c r="D18" s="207" t="s">
        <v>257</v>
      </c>
      <c r="E18" s="207" t="s">
        <v>305</v>
      </c>
      <c r="F18" s="208" t="s">
        <v>437</v>
      </c>
      <c r="G18" s="208">
        <v>15</v>
      </c>
      <c r="H18" s="241">
        <v>32</v>
      </c>
      <c r="I18" s="209">
        <v>10</v>
      </c>
      <c r="J18" s="209"/>
      <c r="K18" s="237" t="s">
        <v>234</v>
      </c>
      <c r="L18" s="209">
        <f>0.86*G18</f>
        <v>12.9</v>
      </c>
      <c r="M18" s="209">
        <f>'PRECIOS INSUMOS 2015'!C$5</f>
        <v>2</v>
      </c>
      <c r="N18" s="18">
        <f t="shared" si="0"/>
        <v>25.8</v>
      </c>
      <c r="O18" s="209">
        <f t="shared" si="1"/>
        <v>0.46875</v>
      </c>
      <c r="P18" s="81">
        <f t="shared" si="2"/>
        <v>37.5</v>
      </c>
      <c r="Q18" s="221">
        <f t="shared" si="3"/>
        <v>63.3</v>
      </c>
    </row>
    <row r="19" spans="1:17" x14ac:dyDescent="0.2">
      <c r="A19" s="205" t="s">
        <v>339</v>
      </c>
      <c r="B19" s="206" t="s">
        <v>487</v>
      </c>
      <c r="C19" s="207">
        <v>-3</v>
      </c>
      <c r="D19" s="207" t="s">
        <v>257</v>
      </c>
      <c r="E19" s="207" t="s">
        <v>305</v>
      </c>
      <c r="F19" s="208" t="s">
        <v>437</v>
      </c>
      <c r="G19" s="208">
        <v>15</v>
      </c>
      <c r="H19" s="209">
        <v>10</v>
      </c>
      <c r="I19" s="209">
        <v>10</v>
      </c>
      <c r="J19" s="209"/>
      <c r="K19" s="237" t="s">
        <v>234</v>
      </c>
      <c r="L19" s="209">
        <f>102.8/13.42</f>
        <v>7.6602086438152011</v>
      </c>
      <c r="M19" s="209">
        <f>'PRECIOS INSUMOS 2015'!C$5</f>
        <v>2</v>
      </c>
      <c r="N19" s="18">
        <f t="shared" si="0"/>
        <v>15.320417287630402</v>
      </c>
      <c r="O19" s="209">
        <f t="shared" si="1"/>
        <v>1.5</v>
      </c>
      <c r="P19" s="81">
        <f t="shared" si="2"/>
        <v>120</v>
      </c>
      <c r="Q19" s="221">
        <f t="shared" si="3"/>
        <v>135.32041728763039</v>
      </c>
    </row>
    <row r="20" spans="1:17" x14ac:dyDescent="0.2">
      <c r="A20" s="205" t="s">
        <v>341</v>
      </c>
      <c r="B20" s="206" t="s">
        <v>344</v>
      </c>
      <c r="C20" s="230">
        <v>-2</v>
      </c>
      <c r="D20" s="207" t="s">
        <v>257</v>
      </c>
      <c r="E20" s="207" t="s">
        <v>476</v>
      </c>
      <c r="F20" s="230" t="s">
        <v>308</v>
      </c>
      <c r="G20" s="230">
        <v>1</v>
      </c>
      <c r="H20" s="241">
        <v>1.7</v>
      </c>
      <c r="I20" s="209">
        <v>10</v>
      </c>
      <c r="J20" s="209"/>
      <c r="K20" s="237" t="s">
        <v>1365</v>
      </c>
      <c r="L20" s="241">
        <v>0.35</v>
      </c>
      <c r="M20" s="209">
        <v>18</v>
      </c>
      <c r="N20" s="18">
        <f t="shared" si="0"/>
        <v>6.3</v>
      </c>
      <c r="O20" s="209">
        <f t="shared" si="1"/>
        <v>0.58823529411764708</v>
      </c>
      <c r="P20" s="81">
        <f t="shared" si="2"/>
        <v>47.058823529411768</v>
      </c>
      <c r="Q20" s="221">
        <f t="shared" si="3"/>
        <v>53.358823529411765</v>
      </c>
    </row>
    <row r="21" spans="1:17" x14ac:dyDescent="0.2">
      <c r="A21" s="205" t="s">
        <v>343</v>
      </c>
      <c r="B21" s="212" t="s">
        <v>346</v>
      </c>
      <c r="C21" s="230">
        <v>0</v>
      </c>
      <c r="D21" s="207" t="s">
        <v>257</v>
      </c>
      <c r="E21" s="230" t="s">
        <v>305</v>
      </c>
      <c r="F21" s="230" t="s">
        <v>509</v>
      </c>
      <c r="G21" s="230">
        <v>3.3330000000000002</v>
      </c>
      <c r="H21" s="241">
        <v>4</v>
      </c>
      <c r="I21" s="209">
        <v>10</v>
      </c>
      <c r="J21" s="209"/>
      <c r="K21" s="237" t="s">
        <v>234</v>
      </c>
      <c r="L21" s="241">
        <v>0.86</v>
      </c>
      <c r="M21" s="209">
        <f>'PRECIOS INSUMOS 2015'!C$5</f>
        <v>2</v>
      </c>
      <c r="N21" s="18">
        <f t="shared" si="0"/>
        <v>1.72</v>
      </c>
      <c r="O21" s="209">
        <f t="shared" si="1"/>
        <v>0.83325000000000005</v>
      </c>
      <c r="P21" s="81">
        <f t="shared" si="2"/>
        <v>66.66</v>
      </c>
      <c r="Q21" s="221">
        <f t="shared" si="3"/>
        <v>68.38</v>
      </c>
    </row>
    <row r="22" spans="1:17" x14ac:dyDescent="0.2">
      <c r="A22" s="205" t="s">
        <v>345</v>
      </c>
      <c r="B22" s="211" t="s">
        <v>488</v>
      </c>
      <c r="C22" s="230">
        <v>0</v>
      </c>
      <c r="D22" s="230" t="s">
        <v>266</v>
      </c>
      <c r="E22" s="230" t="s">
        <v>271</v>
      </c>
      <c r="F22" s="230" t="s">
        <v>308</v>
      </c>
      <c r="G22" s="230">
        <v>1</v>
      </c>
      <c r="H22" s="241">
        <v>0.3</v>
      </c>
      <c r="I22" s="209"/>
      <c r="J22" s="209">
        <v>10</v>
      </c>
      <c r="K22" s="237"/>
      <c r="L22" s="241"/>
      <c r="M22" s="209"/>
      <c r="N22" s="18"/>
      <c r="O22" s="209">
        <f t="shared" si="1"/>
        <v>3.3333333333333335</v>
      </c>
      <c r="P22" s="81">
        <f t="shared" si="2"/>
        <v>266.66666666666669</v>
      </c>
      <c r="Q22" s="221">
        <f t="shared" si="3"/>
        <v>266.66666666666669</v>
      </c>
    </row>
    <row r="23" spans="1:17" x14ac:dyDescent="0.2">
      <c r="A23" s="205" t="s">
        <v>350</v>
      </c>
      <c r="B23" s="237" t="s">
        <v>489</v>
      </c>
      <c r="C23" s="230">
        <v>1</v>
      </c>
      <c r="D23" s="207" t="s">
        <v>257</v>
      </c>
      <c r="E23" s="206" t="s">
        <v>476</v>
      </c>
      <c r="F23" s="207" t="s">
        <v>308</v>
      </c>
      <c r="G23" s="207">
        <v>1</v>
      </c>
      <c r="H23" s="241"/>
      <c r="I23" s="209"/>
      <c r="J23" s="241"/>
      <c r="K23" s="237" t="s">
        <v>1365</v>
      </c>
      <c r="L23" s="241">
        <v>0.35</v>
      </c>
      <c r="M23" s="209">
        <v>18</v>
      </c>
      <c r="N23" s="18">
        <f t="shared" ref="N23:N29" si="4">L23*M23</f>
        <v>6.3</v>
      </c>
      <c r="O23" s="241"/>
      <c r="P23" s="252"/>
      <c r="Q23" s="221">
        <f t="shared" si="3"/>
        <v>6.3</v>
      </c>
    </row>
    <row r="24" spans="1:17" x14ac:dyDescent="0.2">
      <c r="A24" s="293" t="s">
        <v>350</v>
      </c>
      <c r="B24" s="294" t="s">
        <v>590</v>
      </c>
      <c r="C24" s="74">
        <v>1</v>
      </c>
      <c r="D24" s="1" t="s">
        <v>257</v>
      </c>
      <c r="E24" s="36" t="s">
        <v>476</v>
      </c>
      <c r="F24" s="1" t="s">
        <v>308</v>
      </c>
      <c r="G24" s="1">
        <v>1</v>
      </c>
      <c r="H24" s="251">
        <v>0.62</v>
      </c>
      <c r="I24" s="209">
        <v>10</v>
      </c>
      <c r="J24" s="251"/>
      <c r="K24" s="294" t="s">
        <v>234</v>
      </c>
      <c r="L24" s="251">
        <f>0.86*2</f>
        <v>1.72</v>
      </c>
      <c r="M24" s="209">
        <f>'PRECIOS INSUMOS 2015'!C$5</f>
        <v>2</v>
      </c>
      <c r="N24" s="18">
        <f t="shared" si="4"/>
        <v>3.44</v>
      </c>
      <c r="O24" s="209">
        <f>G24/H24</f>
        <v>1.6129032258064517</v>
      </c>
      <c r="P24" s="226">
        <f>(I24+J24)*8*O24</f>
        <v>129.03225806451613</v>
      </c>
      <c r="Q24" s="295">
        <f t="shared" si="3"/>
        <v>132.47225806451613</v>
      </c>
    </row>
    <row r="25" spans="1:17" x14ac:dyDescent="0.2">
      <c r="A25" s="205" t="s">
        <v>352</v>
      </c>
      <c r="B25" s="206" t="s">
        <v>527</v>
      </c>
      <c r="C25" s="207">
        <v>3</v>
      </c>
      <c r="D25" s="207" t="s">
        <v>257</v>
      </c>
      <c r="E25" s="207" t="s">
        <v>303</v>
      </c>
      <c r="F25" s="207" t="s">
        <v>308</v>
      </c>
      <c r="G25" s="207">
        <v>1</v>
      </c>
      <c r="H25" s="241">
        <v>8</v>
      </c>
      <c r="I25" s="209">
        <v>10</v>
      </c>
      <c r="J25" s="209"/>
      <c r="K25" s="237" t="s">
        <v>512</v>
      </c>
      <c r="L25" s="241">
        <v>2.5</v>
      </c>
      <c r="M25" s="209">
        <v>6.38</v>
      </c>
      <c r="N25" s="251">
        <f t="shared" si="4"/>
        <v>15.95</v>
      </c>
      <c r="O25" s="209">
        <f>G25/H25</f>
        <v>0.125</v>
      </c>
      <c r="P25" s="81">
        <f>(I25+J25)*8*O25</f>
        <v>10</v>
      </c>
      <c r="Q25" s="221">
        <f t="shared" si="3"/>
        <v>25.95</v>
      </c>
    </row>
    <row r="26" spans="1:17" x14ac:dyDescent="0.2">
      <c r="A26" s="205" t="s">
        <v>354</v>
      </c>
      <c r="B26" s="254" t="s">
        <v>263</v>
      </c>
      <c r="C26" s="207">
        <v>8</v>
      </c>
      <c r="D26" s="207" t="s">
        <v>257</v>
      </c>
      <c r="E26" s="207" t="s">
        <v>476</v>
      </c>
      <c r="F26" s="207" t="s">
        <v>308</v>
      </c>
      <c r="G26" s="207">
        <v>1</v>
      </c>
      <c r="H26" s="241"/>
      <c r="I26" s="209"/>
      <c r="J26" s="209"/>
      <c r="K26" s="237" t="s">
        <v>1365</v>
      </c>
      <c r="L26" s="241">
        <v>0.35</v>
      </c>
      <c r="M26" s="209">
        <v>18</v>
      </c>
      <c r="N26" s="18">
        <f t="shared" si="4"/>
        <v>6.3</v>
      </c>
      <c r="O26" s="209"/>
      <c r="P26" s="81">
        <f>(I26+J26)*8*O26</f>
        <v>0</v>
      </c>
      <c r="Q26" s="221">
        <f t="shared" si="3"/>
        <v>6.3</v>
      </c>
    </row>
    <row r="27" spans="1:17" x14ac:dyDescent="0.2">
      <c r="A27" s="293" t="s">
        <v>354</v>
      </c>
      <c r="B27" s="12" t="s">
        <v>591</v>
      </c>
      <c r="C27" s="1">
        <v>8</v>
      </c>
      <c r="D27" s="1" t="s">
        <v>257</v>
      </c>
      <c r="E27" s="1" t="s">
        <v>476</v>
      </c>
      <c r="F27" s="1" t="s">
        <v>308</v>
      </c>
      <c r="G27" s="1">
        <v>1</v>
      </c>
      <c r="H27" s="251">
        <v>0.62</v>
      </c>
      <c r="I27" s="209">
        <v>10</v>
      </c>
      <c r="J27" s="18"/>
      <c r="K27" s="294" t="s">
        <v>234</v>
      </c>
      <c r="L27" s="251">
        <f>0.86*2</f>
        <v>1.72</v>
      </c>
      <c r="M27" s="209">
        <f>'PRECIOS INSUMOS 2015'!C$5</f>
        <v>2</v>
      </c>
      <c r="N27" s="18">
        <f t="shared" si="4"/>
        <v>3.44</v>
      </c>
      <c r="O27" s="209">
        <f>G27/H27</f>
        <v>1.6129032258064517</v>
      </c>
      <c r="P27" s="81">
        <v>23.529411764705884</v>
      </c>
      <c r="Q27" s="295">
        <v>25.279411764705884</v>
      </c>
    </row>
    <row r="28" spans="1:17" x14ac:dyDescent="0.2">
      <c r="A28" s="205" t="s">
        <v>355</v>
      </c>
      <c r="B28" s="254" t="s">
        <v>263</v>
      </c>
      <c r="C28" s="207">
        <v>15</v>
      </c>
      <c r="D28" s="207" t="s">
        <v>257</v>
      </c>
      <c r="E28" s="207" t="s">
        <v>476</v>
      </c>
      <c r="F28" s="207" t="s">
        <v>308</v>
      </c>
      <c r="G28" s="207">
        <v>1</v>
      </c>
      <c r="H28" s="241"/>
      <c r="I28" s="209"/>
      <c r="J28" s="209"/>
      <c r="K28" s="237" t="s">
        <v>1365</v>
      </c>
      <c r="L28" s="241">
        <v>0.35</v>
      </c>
      <c r="M28" s="209">
        <v>18</v>
      </c>
      <c r="N28" s="18">
        <f t="shared" si="4"/>
        <v>6.3</v>
      </c>
      <c r="O28" s="209"/>
      <c r="P28" s="81">
        <f>(I28+J28)*8*O28</f>
        <v>0</v>
      </c>
      <c r="Q28" s="221">
        <f>N28+P28</f>
        <v>6.3</v>
      </c>
    </row>
    <row r="29" spans="1:17" x14ac:dyDescent="0.2">
      <c r="A29" s="293" t="s">
        <v>355</v>
      </c>
      <c r="B29" s="12" t="s">
        <v>591</v>
      </c>
      <c r="C29" s="1">
        <v>15</v>
      </c>
      <c r="D29" s="1" t="s">
        <v>257</v>
      </c>
      <c r="E29" s="1" t="s">
        <v>476</v>
      </c>
      <c r="F29" s="1" t="s">
        <v>308</v>
      </c>
      <c r="G29" s="1">
        <v>1</v>
      </c>
      <c r="H29" s="251">
        <v>0.62</v>
      </c>
      <c r="I29" s="209">
        <v>10</v>
      </c>
      <c r="J29" s="18"/>
      <c r="K29" s="294" t="s">
        <v>234</v>
      </c>
      <c r="L29" s="251">
        <f>0.86*2</f>
        <v>1.72</v>
      </c>
      <c r="M29" s="209">
        <f>'PRECIOS INSUMOS 2015'!C$5</f>
        <v>2</v>
      </c>
      <c r="N29" s="18">
        <f t="shared" si="4"/>
        <v>3.44</v>
      </c>
      <c r="O29" s="209">
        <f>G29/H29</f>
        <v>1.6129032258064517</v>
      </c>
      <c r="P29" s="81">
        <v>23.529411764705884</v>
      </c>
      <c r="Q29" s="295">
        <v>25.279411764705884</v>
      </c>
    </row>
    <row r="30" spans="1:17" x14ac:dyDescent="0.2">
      <c r="A30" s="205" t="s">
        <v>356</v>
      </c>
      <c r="B30" s="254" t="s">
        <v>304</v>
      </c>
      <c r="C30" s="207">
        <v>17</v>
      </c>
      <c r="D30" s="207" t="s">
        <v>266</v>
      </c>
      <c r="E30" s="207" t="s">
        <v>271</v>
      </c>
      <c r="F30" s="207" t="s">
        <v>308</v>
      </c>
      <c r="G30" s="207">
        <v>1</v>
      </c>
      <c r="H30" s="241">
        <v>0.62</v>
      </c>
      <c r="I30" s="209"/>
      <c r="J30" s="209">
        <v>10</v>
      </c>
      <c r="K30" s="237"/>
      <c r="L30" s="241"/>
      <c r="M30" s="209"/>
      <c r="N30" s="18"/>
      <c r="O30" s="209">
        <f>G30/H30</f>
        <v>1.6129032258064517</v>
      </c>
      <c r="P30" s="81">
        <f>(I30+J30)*8*O30</f>
        <v>129.03225806451613</v>
      </c>
      <c r="Q30" s="221">
        <f>N30+P30</f>
        <v>129.03225806451613</v>
      </c>
    </row>
    <row r="31" spans="1:17" x14ac:dyDescent="0.2">
      <c r="A31" s="205" t="s">
        <v>357</v>
      </c>
      <c r="B31" s="254" t="s">
        <v>263</v>
      </c>
      <c r="C31" s="207">
        <v>22</v>
      </c>
      <c r="D31" s="207" t="s">
        <v>257</v>
      </c>
      <c r="E31" s="207" t="s">
        <v>476</v>
      </c>
      <c r="F31" s="207" t="s">
        <v>308</v>
      </c>
      <c r="G31" s="207">
        <v>1</v>
      </c>
      <c r="H31" s="241"/>
      <c r="I31" s="209"/>
      <c r="J31" s="209"/>
      <c r="K31" s="237" t="s">
        <v>1365</v>
      </c>
      <c r="L31" s="241">
        <v>0.35</v>
      </c>
      <c r="M31" s="209">
        <v>18</v>
      </c>
      <c r="N31" s="18">
        <f>L31*M31</f>
        <v>6.3</v>
      </c>
      <c r="O31" s="209"/>
      <c r="P31" s="81">
        <f>(I31+J31)*8*O31</f>
        <v>0</v>
      </c>
      <c r="Q31" s="221">
        <f>N31+P31</f>
        <v>6.3</v>
      </c>
    </row>
    <row r="32" spans="1:17" x14ac:dyDescent="0.2">
      <c r="A32" s="293" t="s">
        <v>357</v>
      </c>
      <c r="B32" s="12" t="s">
        <v>591</v>
      </c>
      <c r="C32" s="1">
        <v>22</v>
      </c>
      <c r="D32" s="1" t="s">
        <v>257</v>
      </c>
      <c r="E32" s="1" t="s">
        <v>476</v>
      </c>
      <c r="F32" s="1" t="s">
        <v>308</v>
      </c>
      <c r="G32" s="1">
        <v>1</v>
      </c>
      <c r="H32" s="251">
        <v>0.62</v>
      </c>
      <c r="I32" s="209">
        <v>10</v>
      </c>
      <c r="J32" s="18"/>
      <c r="K32" s="294" t="s">
        <v>234</v>
      </c>
      <c r="L32" s="251">
        <f>0.86*2</f>
        <v>1.72</v>
      </c>
      <c r="M32" s="209">
        <f>'PRECIOS INSUMOS 2015'!C$5</f>
        <v>2</v>
      </c>
      <c r="N32" s="18">
        <f>L32*M32</f>
        <v>3.44</v>
      </c>
      <c r="O32" s="209">
        <f>G32/H32</f>
        <v>1.6129032258064517</v>
      </c>
      <c r="P32" s="81">
        <v>23.529411764705884</v>
      </c>
      <c r="Q32" s="295">
        <v>25.279411764705884</v>
      </c>
    </row>
    <row r="33" spans="1:17" x14ac:dyDescent="0.2">
      <c r="A33" s="205" t="s">
        <v>358</v>
      </c>
      <c r="B33" s="254" t="s">
        <v>263</v>
      </c>
      <c r="C33" s="207">
        <v>29</v>
      </c>
      <c r="D33" s="207" t="s">
        <v>257</v>
      </c>
      <c r="E33" s="207" t="s">
        <v>476</v>
      </c>
      <c r="F33" s="207" t="s">
        <v>308</v>
      </c>
      <c r="G33" s="207">
        <v>1</v>
      </c>
      <c r="H33" s="241"/>
      <c r="I33" s="209"/>
      <c r="J33" s="209"/>
      <c r="K33" s="237" t="s">
        <v>1365</v>
      </c>
      <c r="L33" s="241">
        <v>0.35</v>
      </c>
      <c r="M33" s="209">
        <v>18</v>
      </c>
      <c r="N33" s="18">
        <f>L33*M33</f>
        <v>6.3</v>
      </c>
      <c r="O33" s="209"/>
      <c r="P33" s="81">
        <f>(I33+J33)*8*O33</f>
        <v>0</v>
      </c>
      <c r="Q33" s="221">
        <f>N33+P33</f>
        <v>6.3</v>
      </c>
    </row>
    <row r="34" spans="1:17" x14ac:dyDescent="0.2">
      <c r="A34" s="293" t="s">
        <v>358</v>
      </c>
      <c r="B34" s="12" t="s">
        <v>591</v>
      </c>
      <c r="C34" s="1">
        <v>29</v>
      </c>
      <c r="D34" s="1" t="s">
        <v>257</v>
      </c>
      <c r="E34" s="1" t="s">
        <v>476</v>
      </c>
      <c r="F34" s="1" t="s">
        <v>308</v>
      </c>
      <c r="G34" s="1">
        <v>1</v>
      </c>
      <c r="H34" s="251">
        <v>0.62</v>
      </c>
      <c r="I34" s="209">
        <v>10</v>
      </c>
      <c r="J34" s="18"/>
      <c r="K34" s="294" t="s">
        <v>234</v>
      </c>
      <c r="L34" s="251">
        <f>0.86*2</f>
        <v>1.72</v>
      </c>
      <c r="M34" s="209">
        <f>'PRECIOS INSUMOS 2015'!C$5</f>
        <v>2</v>
      </c>
      <c r="N34" s="18">
        <f>L34*M34</f>
        <v>3.44</v>
      </c>
      <c r="O34" s="209">
        <f>G34/H34</f>
        <v>1.6129032258064517</v>
      </c>
      <c r="P34" s="81">
        <v>23.529411764705884</v>
      </c>
      <c r="Q34" s="295">
        <v>25.279411764705884</v>
      </c>
    </row>
    <row r="35" spans="1:17" x14ac:dyDescent="0.2">
      <c r="A35" s="205" t="s">
        <v>359</v>
      </c>
      <c r="B35" s="254" t="s">
        <v>269</v>
      </c>
      <c r="C35" s="207">
        <v>32</v>
      </c>
      <c r="D35" s="207" t="s">
        <v>257</v>
      </c>
      <c r="E35" s="207" t="s">
        <v>360</v>
      </c>
      <c r="F35" s="207" t="s">
        <v>308</v>
      </c>
      <c r="G35" s="207">
        <v>1</v>
      </c>
      <c r="H35" s="241">
        <v>4</v>
      </c>
      <c r="I35" s="209">
        <v>10</v>
      </c>
      <c r="J35" s="209"/>
      <c r="K35" s="296" t="s">
        <v>234</v>
      </c>
      <c r="L35" s="209">
        <v>7.3</v>
      </c>
      <c r="M35" s="209">
        <f>'PRECIOS INSUMOS 2015'!C$5</f>
        <v>2</v>
      </c>
      <c r="N35" s="18">
        <f>L35*M35</f>
        <v>14.6</v>
      </c>
      <c r="O35" s="209">
        <f>G35/H35</f>
        <v>0.25</v>
      </c>
      <c r="P35" s="81">
        <f>(I35+J35)*8*O35</f>
        <v>20</v>
      </c>
      <c r="Q35" s="221">
        <f>N35+P35</f>
        <v>34.6</v>
      </c>
    </row>
    <row r="36" spans="1:17" x14ac:dyDescent="0.2">
      <c r="A36" s="205" t="s">
        <v>361</v>
      </c>
      <c r="B36" s="254" t="s">
        <v>270</v>
      </c>
      <c r="C36" s="207">
        <v>34</v>
      </c>
      <c r="D36" s="207" t="s">
        <v>266</v>
      </c>
      <c r="E36" s="207" t="s">
        <v>271</v>
      </c>
      <c r="F36" s="207" t="s">
        <v>308</v>
      </c>
      <c r="G36" s="207">
        <v>1</v>
      </c>
      <c r="H36" s="241">
        <v>0.08</v>
      </c>
      <c r="I36" s="209"/>
      <c r="J36" s="209">
        <v>10</v>
      </c>
      <c r="K36" s="237"/>
      <c r="L36" s="241"/>
      <c r="M36" s="209"/>
      <c r="N36" s="18"/>
      <c r="O36" s="209">
        <f>G36/H36</f>
        <v>12.5</v>
      </c>
      <c r="P36" s="81">
        <f>(I36+J36)*8*O36</f>
        <v>1000</v>
      </c>
      <c r="Q36" s="221">
        <f>N36+P36</f>
        <v>1000</v>
      </c>
    </row>
    <row r="37" spans="1:17" x14ac:dyDescent="0.2">
      <c r="A37" s="205" t="s">
        <v>362</v>
      </c>
      <c r="B37" s="254" t="s">
        <v>263</v>
      </c>
      <c r="C37" s="207">
        <v>36</v>
      </c>
      <c r="D37" s="207" t="s">
        <v>257</v>
      </c>
      <c r="E37" s="207" t="s">
        <v>476</v>
      </c>
      <c r="F37" s="207" t="s">
        <v>308</v>
      </c>
      <c r="G37" s="207">
        <v>1</v>
      </c>
      <c r="H37" s="241"/>
      <c r="I37" s="209"/>
      <c r="J37" s="209"/>
      <c r="K37" s="237" t="s">
        <v>1365</v>
      </c>
      <c r="L37" s="241">
        <v>0.35</v>
      </c>
      <c r="M37" s="209">
        <v>18</v>
      </c>
      <c r="N37" s="18">
        <f t="shared" ref="N37:N42" si="5">L37*M37</f>
        <v>6.3</v>
      </c>
      <c r="O37" s="209"/>
      <c r="P37" s="81">
        <f>(I37+J37)*8*O37</f>
        <v>0</v>
      </c>
      <c r="Q37" s="221">
        <f>N37+P37</f>
        <v>6.3</v>
      </c>
    </row>
    <row r="38" spans="1:17" x14ac:dyDescent="0.2">
      <c r="A38" s="293" t="s">
        <v>362</v>
      </c>
      <c r="B38" s="12" t="s">
        <v>591</v>
      </c>
      <c r="C38" s="1">
        <v>36</v>
      </c>
      <c r="D38" s="1" t="s">
        <v>257</v>
      </c>
      <c r="E38" s="1" t="s">
        <v>476</v>
      </c>
      <c r="F38" s="1" t="s">
        <v>308</v>
      </c>
      <c r="G38" s="1">
        <v>1</v>
      </c>
      <c r="H38" s="251">
        <v>0.62</v>
      </c>
      <c r="I38" s="209">
        <v>10</v>
      </c>
      <c r="J38" s="18"/>
      <c r="K38" s="294" t="s">
        <v>234</v>
      </c>
      <c r="L38" s="251">
        <f>0.86*2</f>
        <v>1.72</v>
      </c>
      <c r="M38" s="209">
        <f>'PRECIOS INSUMOS 2015'!C$5</f>
        <v>2</v>
      </c>
      <c r="N38" s="18">
        <f t="shared" si="5"/>
        <v>3.44</v>
      </c>
      <c r="O38" s="209">
        <f>G38/H38</f>
        <v>1.6129032258064517</v>
      </c>
      <c r="P38" s="81">
        <v>23.529411764705884</v>
      </c>
      <c r="Q38" s="295">
        <v>25.279411764705884</v>
      </c>
    </row>
    <row r="39" spans="1:17" x14ac:dyDescent="0.2">
      <c r="A39" s="205" t="s">
        <v>364</v>
      </c>
      <c r="B39" s="254" t="s">
        <v>263</v>
      </c>
      <c r="C39" s="207">
        <v>42</v>
      </c>
      <c r="D39" s="207" t="s">
        <v>257</v>
      </c>
      <c r="E39" s="207" t="s">
        <v>476</v>
      </c>
      <c r="F39" s="207" t="s">
        <v>308</v>
      </c>
      <c r="G39" s="207">
        <v>1</v>
      </c>
      <c r="H39" s="241"/>
      <c r="I39" s="209"/>
      <c r="J39" s="209"/>
      <c r="K39" s="237" t="s">
        <v>1365</v>
      </c>
      <c r="L39" s="241">
        <v>0.35</v>
      </c>
      <c r="M39" s="209">
        <v>18</v>
      </c>
      <c r="N39" s="18">
        <f t="shared" si="5"/>
        <v>6.3</v>
      </c>
      <c r="O39" s="209"/>
      <c r="P39" s="81">
        <f>(I39+J39)*8*O39</f>
        <v>0</v>
      </c>
      <c r="Q39" s="221">
        <f>N39+P39</f>
        <v>6.3</v>
      </c>
    </row>
    <row r="40" spans="1:17" x14ac:dyDescent="0.2">
      <c r="A40" s="293" t="s">
        <v>364</v>
      </c>
      <c r="B40" s="12" t="s">
        <v>591</v>
      </c>
      <c r="C40" s="1">
        <v>42</v>
      </c>
      <c r="D40" s="1" t="s">
        <v>257</v>
      </c>
      <c r="E40" s="1" t="s">
        <v>476</v>
      </c>
      <c r="F40" s="1" t="s">
        <v>308</v>
      </c>
      <c r="G40" s="1">
        <v>1</v>
      </c>
      <c r="H40" s="251">
        <v>0.62</v>
      </c>
      <c r="I40" s="209">
        <v>10</v>
      </c>
      <c r="J40" s="18"/>
      <c r="K40" s="294" t="s">
        <v>234</v>
      </c>
      <c r="L40" s="251">
        <f>0.86*2</f>
        <v>1.72</v>
      </c>
      <c r="M40" s="209">
        <f>'PRECIOS INSUMOS 2015'!C$5</f>
        <v>2</v>
      </c>
      <c r="N40" s="18">
        <f t="shared" si="5"/>
        <v>3.44</v>
      </c>
      <c r="O40" s="209">
        <f>G40/H40</f>
        <v>1.6129032258064517</v>
      </c>
      <c r="P40" s="81">
        <v>23.529411764705884</v>
      </c>
      <c r="Q40" s="295">
        <v>25.279411764705884</v>
      </c>
    </row>
    <row r="41" spans="1:17" x14ac:dyDescent="0.2">
      <c r="A41" s="205" t="s">
        <v>366</v>
      </c>
      <c r="B41" s="254" t="s">
        <v>263</v>
      </c>
      <c r="C41" s="207">
        <v>49</v>
      </c>
      <c r="D41" s="207" t="s">
        <v>257</v>
      </c>
      <c r="E41" s="207" t="s">
        <v>476</v>
      </c>
      <c r="F41" s="207" t="s">
        <v>308</v>
      </c>
      <c r="G41" s="207">
        <v>1</v>
      </c>
      <c r="H41" s="241"/>
      <c r="I41" s="209"/>
      <c r="J41" s="209"/>
      <c r="K41" s="237" t="s">
        <v>1365</v>
      </c>
      <c r="L41" s="241">
        <v>0.35</v>
      </c>
      <c r="M41" s="209">
        <v>18</v>
      </c>
      <c r="N41" s="18">
        <f t="shared" si="5"/>
        <v>6.3</v>
      </c>
      <c r="O41" s="209"/>
      <c r="P41" s="81">
        <f>(I41+J41)*8*O41</f>
        <v>0</v>
      </c>
      <c r="Q41" s="221">
        <f>N41+P41</f>
        <v>6.3</v>
      </c>
    </row>
    <row r="42" spans="1:17" x14ac:dyDescent="0.2">
      <c r="A42" s="293" t="s">
        <v>366</v>
      </c>
      <c r="B42" s="12" t="s">
        <v>591</v>
      </c>
      <c r="C42" s="1">
        <v>49</v>
      </c>
      <c r="D42" s="1" t="s">
        <v>257</v>
      </c>
      <c r="E42" s="1" t="s">
        <v>476</v>
      </c>
      <c r="F42" s="1" t="s">
        <v>308</v>
      </c>
      <c r="G42" s="1">
        <v>1</v>
      </c>
      <c r="H42" s="251">
        <v>0.62</v>
      </c>
      <c r="I42" s="209">
        <v>10</v>
      </c>
      <c r="J42" s="18"/>
      <c r="K42" s="294" t="s">
        <v>234</v>
      </c>
      <c r="L42" s="251">
        <f>0.86*2</f>
        <v>1.72</v>
      </c>
      <c r="M42" s="209">
        <f>'PRECIOS INSUMOS 2015'!C$5</f>
        <v>2</v>
      </c>
      <c r="N42" s="18">
        <f t="shared" si="5"/>
        <v>3.44</v>
      </c>
      <c r="O42" s="209">
        <f t="shared" ref="O42:O49" si="6">G42/H42</f>
        <v>1.6129032258064517</v>
      </c>
      <c r="P42" s="81">
        <v>23.529411764705884</v>
      </c>
      <c r="Q42" s="295">
        <v>25.279411764705884</v>
      </c>
    </row>
    <row r="43" spans="1:17" x14ac:dyDescent="0.2">
      <c r="A43" s="205" t="s">
        <v>368</v>
      </c>
      <c r="B43" s="254" t="s">
        <v>491</v>
      </c>
      <c r="C43" s="207">
        <v>50</v>
      </c>
      <c r="D43" s="207" t="s">
        <v>266</v>
      </c>
      <c r="E43" s="207" t="s">
        <v>272</v>
      </c>
      <c r="F43" s="207" t="s">
        <v>308</v>
      </c>
      <c r="G43" s="207">
        <v>1</v>
      </c>
      <c r="H43" s="241">
        <v>0.62</v>
      </c>
      <c r="I43" s="209"/>
      <c r="J43" s="209">
        <v>10</v>
      </c>
      <c r="K43" s="237"/>
      <c r="L43" s="241"/>
      <c r="M43" s="209"/>
      <c r="N43" s="18"/>
      <c r="O43" s="209">
        <f t="shared" si="6"/>
        <v>1.6129032258064517</v>
      </c>
      <c r="P43" s="81">
        <f t="shared" ref="P43:P50" si="7">(I43+J43)*8*O43</f>
        <v>129.03225806451613</v>
      </c>
      <c r="Q43" s="221">
        <f t="shared" ref="Q43:Q50" si="8">N43+P43</f>
        <v>129.03225806451613</v>
      </c>
    </row>
    <row r="44" spans="1:17" x14ac:dyDescent="0.2">
      <c r="A44" s="297" t="s">
        <v>369</v>
      </c>
      <c r="B44" s="298" t="s">
        <v>492</v>
      </c>
      <c r="C44" s="213">
        <v>51</v>
      </c>
      <c r="D44" s="213" t="s">
        <v>257</v>
      </c>
      <c r="E44" s="213" t="s">
        <v>305</v>
      </c>
      <c r="F44" s="213" t="s">
        <v>437</v>
      </c>
      <c r="G44" s="213">
        <v>1.75</v>
      </c>
      <c r="H44" s="218">
        <v>16</v>
      </c>
      <c r="I44" s="209">
        <v>10</v>
      </c>
      <c r="J44" s="219"/>
      <c r="K44" s="217" t="s">
        <v>234</v>
      </c>
      <c r="L44" s="219">
        <f>0.85*G44</f>
        <v>1.4875</v>
      </c>
      <c r="M44" s="209">
        <f>'PRECIOS INSUMOS 2015'!C$5</f>
        <v>2</v>
      </c>
      <c r="N44" s="104">
        <f>L44*M44</f>
        <v>2.9750000000000001</v>
      </c>
      <c r="O44" s="219">
        <f t="shared" si="6"/>
        <v>0.109375</v>
      </c>
      <c r="P44" s="299">
        <f t="shared" si="7"/>
        <v>8.75</v>
      </c>
      <c r="Q44" s="300">
        <f t="shared" si="8"/>
        <v>11.725</v>
      </c>
    </row>
    <row r="45" spans="1:17" x14ac:dyDescent="0.2">
      <c r="A45" s="302" t="s">
        <v>370</v>
      </c>
      <c r="B45" s="303" t="s">
        <v>492</v>
      </c>
      <c r="C45" s="304">
        <v>51</v>
      </c>
      <c r="D45" s="304" t="s">
        <v>257</v>
      </c>
      <c r="E45" s="304" t="s">
        <v>305</v>
      </c>
      <c r="F45" s="304" t="s">
        <v>437</v>
      </c>
      <c r="G45" s="304">
        <v>1.75</v>
      </c>
      <c r="H45" s="305">
        <v>16</v>
      </c>
      <c r="I45" s="209">
        <v>10</v>
      </c>
      <c r="J45" s="306"/>
      <c r="K45" s="307" t="s">
        <v>234</v>
      </c>
      <c r="L45" s="306">
        <f>0.85*G45</f>
        <v>1.4875</v>
      </c>
      <c r="M45" s="209">
        <f>'PRECIOS INSUMOS 2015'!C$5</f>
        <v>2</v>
      </c>
      <c r="N45" s="57">
        <f>L45*M45</f>
        <v>2.9750000000000001</v>
      </c>
      <c r="O45" s="306">
        <f t="shared" si="6"/>
        <v>0.109375</v>
      </c>
      <c r="P45" s="308">
        <f t="shared" si="7"/>
        <v>8.75</v>
      </c>
      <c r="Q45" s="309">
        <f t="shared" si="8"/>
        <v>11.725</v>
      </c>
    </row>
    <row r="46" spans="1:17" x14ac:dyDescent="0.2">
      <c r="A46" s="205" t="s">
        <v>371</v>
      </c>
      <c r="B46" s="254" t="s">
        <v>528</v>
      </c>
      <c r="C46" s="207">
        <v>51</v>
      </c>
      <c r="D46" s="207" t="s">
        <v>266</v>
      </c>
      <c r="E46" s="207" t="s">
        <v>268</v>
      </c>
      <c r="F46" s="207" t="s">
        <v>308</v>
      </c>
      <c r="G46" s="207">
        <v>1</v>
      </c>
      <c r="H46" s="241">
        <v>0.17</v>
      </c>
      <c r="I46" s="209"/>
      <c r="J46" s="209">
        <v>10</v>
      </c>
      <c r="K46" s="237" t="s">
        <v>515</v>
      </c>
      <c r="L46" s="241">
        <v>0.25</v>
      </c>
      <c r="M46" s="209">
        <f>'PRECIOS INSUMOS 2015'!E$193</f>
        <v>1500</v>
      </c>
      <c r="N46" s="18">
        <f>L46*M46</f>
        <v>375</v>
      </c>
      <c r="O46" s="209">
        <f t="shared" si="6"/>
        <v>5.8823529411764701</v>
      </c>
      <c r="P46" s="81">
        <f t="shared" si="7"/>
        <v>470.58823529411762</v>
      </c>
      <c r="Q46" s="221">
        <f t="shared" si="8"/>
        <v>845.58823529411757</v>
      </c>
    </row>
    <row r="47" spans="1:17" x14ac:dyDescent="0.2">
      <c r="A47" s="205" t="s">
        <v>372</v>
      </c>
      <c r="B47" s="254" t="s">
        <v>528</v>
      </c>
      <c r="C47" s="207">
        <v>51</v>
      </c>
      <c r="D47" s="207" t="s">
        <v>266</v>
      </c>
      <c r="E47" s="207" t="s">
        <v>268</v>
      </c>
      <c r="F47" s="207" t="s">
        <v>308</v>
      </c>
      <c r="G47" s="207">
        <v>1</v>
      </c>
      <c r="H47" s="241">
        <v>0.17</v>
      </c>
      <c r="I47" s="209"/>
      <c r="J47" s="209">
        <v>10</v>
      </c>
      <c r="K47" s="237" t="s">
        <v>514</v>
      </c>
      <c r="L47" s="241">
        <v>1.5</v>
      </c>
      <c r="M47" s="209"/>
      <c r="N47" s="18"/>
      <c r="O47" s="209">
        <f t="shared" si="6"/>
        <v>5.8823529411764701</v>
      </c>
      <c r="P47" s="81">
        <f t="shared" si="7"/>
        <v>470.58823529411762</v>
      </c>
      <c r="Q47" s="221">
        <f t="shared" si="8"/>
        <v>470.58823529411762</v>
      </c>
    </row>
    <row r="48" spans="1:17" x14ac:dyDescent="0.2">
      <c r="A48" s="205" t="s">
        <v>373</v>
      </c>
      <c r="B48" s="254" t="s">
        <v>269</v>
      </c>
      <c r="C48" s="207">
        <v>52</v>
      </c>
      <c r="D48" s="207" t="s">
        <v>257</v>
      </c>
      <c r="E48" s="207" t="s">
        <v>360</v>
      </c>
      <c r="F48" s="207" t="s">
        <v>308</v>
      </c>
      <c r="G48" s="207">
        <v>1</v>
      </c>
      <c r="H48" s="241">
        <v>4</v>
      </c>
      <c r="I48" s="209">
        <v>10</v>
      </c>
      <c r="J48" s="209"/>
      <c r="K48" s="296" t="s">
        <v>234</v>
      </c>
      <c r="L48" s="209">
        <v>7.3</v>
      </c>
      <c r="M48" s="209">
        <f>'PRECIOS INSUMOS 2015'!C$5</f>
        <v>2</v>
      </c>
      <c r="N48" s="18">
        <f>L48*M48</f>
        <v>14.6</v>
      </c>
      <c r="O48" s="209">
        <f t="shared" si="6"/>
        <v>0.25</v>
      </c>
      <c r="P48" s="81">
        <f t="shared" si="7"/>
        <v>20</v>
      </c>
      <c r="Q48" s="221">
        <f t="shared" si="8"/>
        <v>34.6</v>
      </c>
    </row>
    <row r="49" spans="1:17" x14ac:dyDescent="0.2">
      <c r="A49" s="205" t="s">
        <v>374</v>
      </c>
      <c r="B49" s="254" t="s">
        <v>270</v>
      </c>
      <c r="C49" s="207">
        <v>53</v>
      </c>
      <c r="D49" s="207" t="s">
        <v>266</v>
      </c>
      <c r="E49" s="207" t="s">
        <v>271</v>
      </c>
      <c r="F49" s="207" t="s">
        <v>308</v>
      </c>
      <c r="G49" s="207">
        <v>1</v>
      </c>
      <c r="H49" s="241">
        <v>0.08</v>
      </c>
      <c r="I49" s="209"/>
      <c r="J49" s="209">
        <v>10</v>
      </c>
      <c r="K49" s="237"/>
      <c r="L49" s="241"/>
      <c r="M49" s="209"/>
      <c r="N49" s="18"/>
      <c r="O49" s="209">
        <f t="shared" si="6"/>
        <v>12.5</v>
      </c>
      <c r="P49" s="81">
        <f t="shared" si="7"/>
        <v>1000</v>
      </c>
      <c r="Q49" s="221">
        <f t="shared" si="8"/>
        <v>1000</v>
      </c>
    </row>
    <row r="50" spans="1:17" x14ac:dyDescent="0.2">
      <c r="A50" s="205" t="s">
        <v>376</v>
      </c>
      <c r="B50" s="254" t="s">
        <v>263</v>
      </c>
      <c r="C50" s="207">
        <v>56</v>
      </c>
      <c r="D50" s="207" t="s">
        <v>257</v>
      </c>
      <c r="E50" s="207" t="s">
        <v>476</v>
      </c>
      <c r="F50" s="207" t="s">
        <v>308</v>
      </c>
      <c r="G50" s="207">
        <v>1</v>
      </c>
      <c r="H50" s="241"/>
      <c r="I50" s="209"/>
      <c r="J50" s="209"/>
      <c r="K50" s="237" t="s">
        <v>1365</v>
      </c>
      <c r="L50" s="241">
        <v>0.35</v>
      </c>
      <c r="M50" s="209">
        <v>18</v>
      </c>
      <c r="N50" s="18">
        <f t="shared" ref="N50:N56" si="9">L50*M50</f>
        <v>6.3</v>
      </c>
      <c r="O50" s="209"/>
      <c r="P50" s="81">
        <f t="shared" si="7"/>
        <v>0</v>
      </c>
      <c r="Q50" s="221">
        <f t="shared" si="8"/>
        <v>6.3</v>
      </c>
    </row>
    <row r="51" spans="1:17" x14ac:dyDescent="0.2">
      <c r="A51" s="293" t="s">
        <v>376</v>
      </c>
      <c r="B51" s="12" t="s">
        <v>591</v>
      </c>
      <c r="C51" s="1">
        <v>56</v>
      </c>
      <c r="D51" s="1" t="s">
        <v>257</v>
      </c>
      <c r="E51" s="1" t="s">
        <v>476</v>
      </c>
      <c r="F51" s="1" t="s">
        <v>308</v>
      </c>
      <c r="G51" s="1">
        <v>1</v>
      </c>
      <c r="H51" s="251">
        <v>0.62</v>
      </c>
      <c r="I51" s="209">
        <v>10</v>
      </c>
      <c r="J51" s="18"/>
      <c r="K51" s="294" t="s">
        <v>234</v>
      </c>
      <c r="L51" s="251">
        <f>0.86*2</f>
        <v>1.72</v>
      </c>
      <c r="M51" s="209">
        <f>'PRECIOS INSUMOS 2015'!C$5</f>
        <v>2</v>
      </c>
      <c r="N51" s="18">
        <f t="shared" si="9"/>
        <v>3.44</v>
      </c>
      <c r="O51" s="209">
        <f>G51/H51</f>
        <v>1.6129032258064517</v>
      </c>
      <c r="P51" s="81">
        <v>23.529411764705884</v>
      </c>
      <c r="Q51" s="295">
        <v>25.279411764705884</v>
      </c>
    </row>
    <row r="52" spans="1:17" x14ac:dyDescent="0.2">
      <c r="A52" s="205" t="s">
        <v>377</v>
      </c>
      <c r="B52" s="254" t="s">
        <v>263</v>
      </c>
      <c r="C52" s="207">
        <v>62</v>
      </c>
      <c r="D52" s="207" t="s">
        <v>257</v>
      </c>
      <c r="E52" s="207" t="s">
        <v>476</v>
      </c>
      <c r="F52" s="207" t="s">
        <v>308</v>
      </c>
      <c r="G52" s="207">
        <v>1</v>
      </c>
      <c r="H52" s="241"/>
      <c r="I52" s="209"/>
      <c r="J52" s="209"/>
      <c r="K52" s="237" t="s">
        <v>1365</v>
      </c>
      <c r="L52" s="241">
        <v>0.35</v>
      </c>
      <c r="M52" s="209">
        <v>18</v>
      </c>
      <c r="N52" s="18">
        <f t="shared" si="9"/>
        <v>6.3</v>
      </c>
      <c r="O52" s="209"/>
      <c r="P52" s="81">
        <f>(I52+J52)*8*O52</f>
        <v>0</v>
      </c>
      <c r="Q52" s="221">
        <f>N52+P52</f>
        <v>6.3</v>
      </c>
    </row>
    <row r="53" spans="1:17" x14ac:dyDescent="0.2">
      <c r="A53" s="293" t="s">
        <v>377</v>
      </c>
      <c r="B53" s="12" t="s">
        <v>591</v>
      </c>
      <c r="C53" s="1">
        <v>62</v>
      </c>
      <c r="D53" s="1" t="s">
        <v>257</v>
      </c>
      <c r="E53" s="1" t="s">
        <v>476</v>
      </c>
      <c r="F53" s="1" t="s">
        <v>308</v>
      </c>
      <c r="G53" s="1">
        <v>1</v>
      </c>
      <c r="H53" s="251">
        <v>0.62</v>
      </c>
      <c r="I53" s="209">
        <v>10</v>
      </c>
      <c r="J53" s="18"/>
      <c r="K53" s="294" t="s">
        <v>234</v>
      </c>
      <c r="L53" s="251">
        <f>0.86*2</f>
        <v>1.72</v>
      </c>
      <c r="M53" s="209">
        <f>'PRECIOS INSUMOS 2015'!C$5</f>
        <v>2</v>
      </c>
      <c r="N53" s="18">
        <f t="shared" si="9"/>
        <v>3.44</v>
      </c>
      <c r="O53" s="209">
        <f>G53/H53</f>
        <v>1.6129032258064517</v>
      </c>
      <c r="P53" s="81">
        <v>23.529411764705884</v>
      </c>
      <c r="Q53" s="295">
        <v>25.279411764705884</v>
      </c>
    </row>
    <row r="54" spans="1:17" x14ac:dyDescent="0.2">
      <c r="A54" s="205" t="s">
        <v>378</v>
      </c>
      <c r="B54" s="254" t="s">
        <v>263</v>
      </c>
      <c r="C54" s="207">
        <v>68</v>
      </c>
      <c r="D54" s="207" t="s">
        <v>257</v>
      </c>
      <c r="E54" s="207" t="s">
        <v>476</v>
      </c>
      <c r="F54" s="207" t="s">
        <v>308</v>
      </c>
      <c r="G54" s="207">
        <v>1</v>
      </c>
      <c r="H54" s="241"/>
      <c r="I54" s="209"/>
      <c r="J54" s="209"/>
      <c r="K54" s="237" t="s">
        <v>1365</v>
      </c>
      <c r="L54" s="241">
        <v>0.35</v>
      </c>
      <c r="M54" s="209">
        <v>18</v>
      </c>
      <c r="N54" s="18">
        <f t="shared" si="9"/>
        <v>6.3</v>
      </c>
      <c r="O54" s="209"/>
      <c r="P54" s="81">
        <f>(I54+J54)*8*O54</f>
        <v>0</v>
      </c>
      <c r="Q54" s="221">
        <f>N54+P54</f>
        <v>6.3</v>
      </c>
    </row>
    <row r="55" spans="1:17" x14ac:dyDescent="0.2">
      <c r="A55" s="293" t="s">
        <v>378</v>
      </c>
      <c r="B55" s="12" t="s">
        <v>591</v>
      </c>
      <c r="C55" s="1">
        <v>68</v>
      </c>
      <c r="D55" s="1" t="s">
        <v>257</v>
      </c>
      <c r="E55" s="1" t="s">
        <v>476</v>
      </c>
      <c r="F55" s="1" t="s">
        <v>308</v>
      </c>
      <c r="G55" s="1">
        <v>1</v>
      </c>
      <c r="H55" s="251">
        <v>0.62</v>
      </c>
      <c r="I55" s="209">
        <v>10</v>
      </c>
      <c r="J55" s="18"/>
      <c r="K55" s="294" t="s">
        <v>234</v>
      </c>
      <c r="L55" s="251">
        <f>0.86*2</f>
        <v>1.72</v>
      </c>
      <c r="M55" s="209">
        <f>'PRECIOS INSUMOS 2015'!C$5</f>
        <v>2</v>
      </c>
      <c r="N55" s="18">
        <f t="shared" si="9"/>
        <v>3.44</v>
      </c>
      <c r="O55" s="209">
        <f>G55/H55</f>
        <v>1.6129032258064517</v>
      </c>
      <c r="P55" s="81">
        <v>23.529411764705884</v>
      </c>
      <c r="Q55" s="295">
        <v>25.279411764705884</v>
      </c>
    </row>
    <row r="56" spans="1:17" x14ac:dyDescent="0.2">
      <c r="A56" s="205" t="s">
        <v>379</v>
      </c>
      <c r="B56" s="254" t="s">
        <v>269</v>
      </c>
      <c r="C56" s="207">
        <v>70</v>
      </c>
      <c r="D56" s="207" t="s">
        <v>257</v>
      </c>
      <c r="E56" s="207" t="s">
        <v>360</v>
      </c>
      <c r="F56" s="207" t="s">
        <v>308</v>
      </c>
      <c r="G56" s="207">
        <v>1</v>
      </c>
      <c r="H56" s="241">
        <v>4</v>
      </c>
      <c r="I56" s="209">
        <v>10</v>
      </c>
      <c r="J56" s="209"/>
      <c r="K56" s="296" t="s">
        <v>234</v>
      </c>
      <c r="L56" s="209">
        <v>7.3</v>
      </c>
      <c r="M56" s="209">
        <f>'PRECIOS INSUMOS 2015'!C$5</f>
        <v>2</v>
      </c>
      <c r="N56" s="18">
        <f t="shared" si="9"/>
        <v>14.6</v>
      </c>
      <c r="O56" s="209">
        <f>G56/H56</f>
        <v>0.25</v>
      </c>
      <c r="P56" s="81">
        <f>(I56+J56)*8*O56</f>
        <v>20</v>
      </c>
      <c r="Q56" s="221">
        <f>N56+P56</f>
        <v>34.6</v>
      </c>
    </row>
    <row r="57" spans="1:17" x14ac:dyDescent="0.2">
      <c r="A57" s="205" t="s">
        <v>380</v>
      </c>
      <c r="B57" s="254" t="s">
        <v>270</v>
      </c>
      <c r="C57" s="207">
        <v>71</v>
      </c>
      <c r="D57" s="207" t="s">
        <v>266</v>
      </c>
      <c r="E57" s="207" t="s">
        <v>271</v>
      </c>
      <c r="F57" s="207" t="s">
        <v>308</v>
      </c>
      <c r="G57" s="207">
        <v>1</v>
      </c>
      <c r="H57" s="241">
        <v>0.62</v>
      </c>
      <c r="I57" s="209"/>
      <c r="J57" s="209">
        <v>10</v>
      </c>
      <c r="K57" s="237"/>
      <c r="L57" s="241"/>
      <c r="M57" s="209"/>
      <c r="N57" s="18"/>
      <c r="O57" s="209">
        <f>G57/H57</f>
        <v>1.6129032258064517</v>
      </c>
      <c r="P57" s="81">
        <f>(I57+J57)*8*O57</f>
        <v>129.03225806451613</v>
      </c>
      <c r="Q57" s="221">
        <f>N57+P57</f>
        <v>129.03225806451613</v>
      </c>
    </row>
    <row r="58" spans="1:17" x14ac:dyDescent="0.2">
      <c r="A58" s="205" t="s">
        <v>381</v>
      </c>
      <c r="B58" s="254" t="s">
        <v>263</v>
      </c>
      <c r="C58" s="207">
        <v>75</v>
      </c>
      <c r="D58" s="207" t="s">
        <v>257</v>
      </c>
      <c r="E58" s="207" t="s">
        <v>476</v>
      </c>
      <c r="F58" s="207" t="s">
        <v>308</v>
      </c>
      <c r="G58" s="207">
        <v>1</v>
      </c>
      <c r="H58" s="241"/>
      <c r="I58" s="209"/>
      <c r="J58" s="209"/>
      <c r="K58" s="237" t="s">
        <v>1365</v>
      </c>
      <c r="L58" s="241">
        <v>0.35</v>
      </c>
      <c r="M58" s="209">
        <v>18</v>
      </c>
      <c r="N58" s="18">
        <f>L58*M58</f>
        <v>6.3</v>
      </c>
      <c r="O58" s="209"/>
      <c r="P58" s="81">
        <f>(I58+J58)*8*O58</f>
        <v>0</v>
      </c>
      <c r="Q58" s="221">
        <f>N58+P58</f>
        <v>6.3</v>
      </c>
    </row>
    <row r="59" spans="1:17" x14ac:dyDescent="0.2">
      <c r="A59" s="293" t="s">
        <v>381</v>
      </c>
      <c r="B59" s="12" t="s">
        <v>591</v>
      </c>
      <c r="C59" s="1">
        <v>75</v>
      </c>
      <c r="D59" s="1" t="s">
        <v>257</v>
      </c>
      <c r="E59" s="1" t="s">
        <v>476</v>
      </c>
      <c r="F59" s="1" t="s">
        <v>308</v>
      </c>
      <c r="G59" s="1">
        <v>1</v>
      </c>
      <c r="H59" s="251">
        <v>0.62</v>
      </c>
      <c r="I59" s="209">
        <v>10</v>
      </c>
      <c r="J59" s="18"/>
      <c r="K59" s="294" t="s">
        <v>234</v>
      </c>
      <c r="L59" s="251">
        <f>0.86*2</f>
        <v>1.72</v>
      </c>
      <c r="M59" s="209">
        <f>'PRECIOS INSUMOS 2015'!C$5</f>
        <v>2</v>
      </c>
      <c r="N59" s="18">
        <f>L59*M59</f>
        <v>3.44</v>
      </c>
      <c r="O59" s="209">
        <f>G59/H59</f>
        <v>1.6129032258064517</v>
      </c>
      <c r="P59" s="81">
        <v>23.529411764705884</v>
      </c>
      <c r="Q59" s="295">
        <v>25.279411764705884</v>
      </c>
    </row>
    <row r="60" spans="1:17" x14ac:dyDescent="0.2">
      <c r="A60" s="205" t="s">
        <v>382</v>
      </c>
      <c r="B60" s="254" t="s">
        <v>273</v>
      </c>
      <c r="C60" s="207">
        <v>80</v>
      </c>
      <c r="D60" s="207" t="s">
        <v>266</v>
      </c>
      <c r="E60" s="207" t="s">
        <v>272</v>
      </c>
      <c r="F60" s="207" t="s">
        <v>308</v>
      </c>
      <c r="G60" s="207">
        <v>1</v>
      </c>
      <c r="H60" s="209">
        <v>0.62</v>
      </c>
      <c r="I60" s="209"/>
      <c r="J60" s="209">
        <v>10</v>
      </c>
      <c r="K60" s="237"/>
      <c r="L60" s="241"/>
      <c r="M60" s="209"/>
      <c r="N60" s="18"/>
      <c r="O60" s="209">
        <f>G60/H60</f>
        <v>1.6129032258064517</v>
      </c>
      <c r="P60" s="81">
        <f>(I60+J60)*8*O60</f>
        <v>129.03225806451613</v>
      </c>
      <c r="Q60" s="221">
        <f>N60+P60</f>
        <v>129.03225806451613</v>
      </c>
    </row>
    <row r="61" spans="1:17" x14ac:dyDescent="0.2">
      <c r="A61" s="205" t="s">
        <v>383</v>
      </c>
      <c r="B61" s="254" t="s">
        <v>491</v>
      </c>
      <c r="C61" s="207">
        <v>80</v>
      </c>
      <c r="D61" s="207" t="s">
        <v>266</v>
      </c>
      <c r="E61" s="207" t="s">
        <v>272</v>
      </c>
      <c r="F61" s="207" t="s">
        <v>308</v>
      </c>
      <c r="G61" s="207">
        <v>1</v>
      </c>
      <c r="H61" s="241">
        <v>0.62</v>
      </c>
      <c r="I61" s="209"/>
      <c r="J61" s="209">
        <v>10</v>
      </c>
      <c r="K61" s="237"/>
      <c r="L61" s="241"/>
      <c r="M61" s="209"/>
      <c r="N61" s="18"/>
      <c r="O61" s="209">
        <f>G61/H61</f>
        <v>1.6129032258064517</v>
      </c>
      <c r="P61" s="81">
        <f>(I61+J61)*8*O61</f>
        <v>129.03225806451613</v>
      </c>
      <c r="Q61" s="221">
        <f>N61+P61</f>
        <v>129.03225806451613</v>
      </c>
    </row>
    <row r="62" spans="1:17" x14ac:dyDescent="0.2">
      <c r="A62" s="205" t="s">
        <v>384</v>
      </c>
      <c r="B62" s="254" t="s">
        <v>263</v>
      </c>
      <c r="C62" s="207">
        <v>82</v>
      </c>
      <c r="D62" s="207" t="s">
        <v>257</v>
      </c>
      <c r="E62" s="207" t="s">
        <v>476</v>
      </c>
      <c r="F62" s="207" t="s">
        <v>308</v>
      </c>
      <c r="G62" s="207">
        <v>1</v>
      </c>
      <c r="H62" s="241"/>
      <c r="I62" s="209"/>
      <c r="J62" s="209"/>
      <c r="K62" s="237" t="s">
        <v>1365</v>
      </c>
      <c r="L62" s="241">
        <v>0.35</v>
      </c>
      <c r="M62" s="209">
        <v>18</v>
      </c>
      <c r="N62" s="18">
        <f t="shared" ref="N62:N73" si="10">L62*M62</f>
        <v>6.3</v>
      </c>
      <c r="O62" s="209"/>
      <c r="P62" s="81">
        <f>(I62+J62)*8*O62</f>
        <v>0</v>
      </c>
      <c r="Q62" s="221">
        <f>N62+P62</f>
        <v>6.3</v>
      </c>
    </row>
    <row r="63" spans="1:17" x14ac:dyDescent="0.2">
      <c r="A63" s="293" t="s">
        <v>384</v>
      </c>
      <c r="B63" s="12" t="s">
        <v>591</v>
      </c>
      <c r="C63" s="1">
        <v>82</v>
      </c>
      <c r="D63" s="1" t="s">
        <v>257</v>
      </c>
      <c r="E63" s="1" t="s">
        <v>476</v>
      </c>
      <c r="F63" s="1" t="s">
        <v>308</v>
      </c>
      <c r="G63" s="1">
        <v>1</v>
      </c>
      <c r="H63" s="251">
        <v>0.62</v>
      </c>
      <c r="I63" s="209">
        <v>10</v>
      </c>
      <c r="J63" s="18"/>
      <c r="K63" s="294" t="s">
        <v>234</v>
      </c>
      <c r="L63" s="251">
        <f>0.86*2</f>
        <v>1.72</v>
      </c>
      <c r="M63" s="209">
        <f>'PRECIOS INSUMOS 2015'!C$5</f>
        <v>2</v>
      </c>
      <c r="N63" s="18">
        <f t="shared" si="10"/>
        <v>3.44</v>
      </c>
      <c r="O63" s="209">
        <f>G63/H63</f>
        <v>1.6129032258064517</v>
      </c>
      <c r="P63" s="81">
        <v>23.529411764705884</v>
      </c>
      <c r="Q63" s="295">
        <v>25.279411764705884</v>
      </c>
    </row>
    <row r="64" spans="1:17" x14ac:dyDescent="0.2">
      <c r="A64" s="205" t="s">
        <v>386</v>
      </c>
      <c r="B64" s="254" t="s">
        <v>528</v>
      </c>
      <c r="C64" s="207">
        <v>87</v>
      </c>
      <c r="D64" s="207" t="s">
        <v>266</v>
      </c>
      <c r="E64" s="207" t="s">
        <v>268</v>
      </c>
      <c r="F64" s="207" t="s">
        <v>308</v>
      </c>
      <c r="G64" s="207">
        <v>1</v>
      </c>
      <c r="H64" s="241">
        <v>0.17</v>
      </c>
      <c r="I64" s="209"/>
      <c r="J64" s="209">
        <v>10</v>
      </c>
      <c r="K64" s="237" t="s">
        <v>515</v>
      </c>
      <c r="L64" s="241">
        <v>0.25</v>
      </c>
      <c r="M64" s="209">
        <f>'PRECIOS INSUMOS 2015'!E$193</f>
        <v>1500</v>
      </c>
      <c r="N64" s="18">
        <f t="shared" si="10"/>
        <v>375</v>
      </c>
      <c r="O64" s="209">
        <f>G64/H64</f>
        <v>5.8823529411764701</v>
      </c>
      <c r="P64" s="81">
        <f>(I64+J64)*8*O64</f>
        <v>470.58823529411762</v>
      </c>
      <c r="Q64" s="221">
        <f>N64+P64</f>
        <v>845.58823529411757</v>
      </c>
    </row>
    <row r="65" spans="1:17" x14ac:dyDescent="0.2">
      <c r="A65" s="205" t="s">
        <v>387</v>
      </c>
      <c r="B65" s="254" t="s">
        <v>263</v>
      </c>
      <c r="C65" s="207">
        <v>89</v>
      </c>
      <c r="D65" s="207" t="s">
        <v>257</v>
      </c>
      <c r="E65" s="207" t="s">
        <v>476</v>
      </c>
      <c r="F65" s="207" t="s">
        <v>308</v>
      </c>
      <c r="G65" s="207">
        <v>1</v>
      </c>
      <c r="H65" s="241"/>
      <c r="I65" s="209"/>
      <c r="J65" s="209"/>
      <c r="K65" s="237" t="s">
        <v>1365</v>
      </c>
      <c r="L65" s="241">
        <v>0.35</v>
      </c>
      <c r="M65" s="209">
        <v>18</v>
      </c>
      <c r="N65" s="18">
        <f t="shared" si="10"/>
        <v>6.3</v>
      </c>
      <c r="O65" s="209"/>
      <c r="P65" s="81">
        <f>(I65+J65)*8*O65</f>
        <v>0</v>
      </c>
      <c r="Q65" s="221">
        <f>N65+P65</f>
        <v>6.3</v>
      </c>
    </row>
    <row r="66" spans="1:17" x14ac:dyDescent="0.2">
      <c r="A66" s="293" t="s">
        <v>387</v>
      </c>
      <c r="B66" s="12" t="s">
        <v>591</v>
      </c>
      <c r="C66" s="1">
        <v>89</v>
      </c>
      <c r="D66" s="1" t="s">
        <v>257</v>
      </c>
      <c r="E66" s="1" t="s">
        <v>476</v>
      </c>
      <c r="F66" s="1" t="s">
        <v>308</v>
      </c>
      <c r="G66" s="1">
        <v>1</v>
      </c>
      <c r="H66" s="251">
        <v>0.62</v>
      </c>
      <c r="I66" s="209">
        <v>10</v>
      </c>
      <c r="J66" s="18"/>
      <c r="K66" s="294" t="s">
        <v>234</v>
      </c>
      <c r="L66" s="251">
        <f>0.86*2</f>
        <v>1.72</v>
      </c>
      <c r="M66" s="209">
        <f>'PRECIOS INSUMOS 2015'!C$5</f>
        <v>2</v>
      </c>
      <c r="N66" s="18">
        <f t="shared" si="10"/>
        <v>3.44</v>
      </c>
      <c r="O66" s="209">
        <f>G66/H66</f>
        <v>1.6129032258064517</v>
      </c>
      <c r="P66" s="81">
        <v>23.529411764705884</v>
      </c>
      <c r="Q66" s="295">
        <v>25.279411764705884</v>
      </c>
    </row>
    <row r="67" spans="1:17" x14ac:dyDescent="0.2">
      <c r="A67" s="205" t="s">
        <v>389</v>
      </c>
      <c r="B67" s="254" t="s">
        <v>263</v>
      </c>
      <c r="C67" s="207">
        <v>96</v>
      </c>
      <c r="D67" s="207" t="s">
        <v>257</v>
      </c>
      <c r="E67" s="207" t="s">
        <v>476</v>
      </c>
      <c r="F67" s="207" t="s">
        <v>308</v>
      </c>
      <c r="G67" s="207">
        <v>1</v>
      </c>
      <c r="H67" s="241"/>
      <c r="I67" s="209"/>
      <c r="J67" s="209"/>
      <c r="K67" s="237" t="s">
        <v>1365</v>
      </c>
      <c r="L67" s="241">
        <v>0.35</v>
      </c>
      <c r="M67" s="209">
        <v>18</v>
      </c>
      <c r="N67" s="18">
        <f t="shared" si="10"/>
        <v>6.3</v>
      </c>
      <c r="O67" s="209"/>
      <c r="P67" s="81">
        <f>(I67+J67)*8*O67</f>
        <v>0</v>
      </c>
      <c r="Q67" s="221">
        <f>N67+P67</f>
        <v>6.3</v>
      </c>
    </row>
    <row r="68" spans="1:17" x14ac:dyDescent="0.2">
      <c r="A68" s="293" t="s">
        <v>389</v>
      </c>
      <c r="B68" s="12" t="s">
        <v>591</v>
      </c>
      <c r="C68" s="1">
        <v>96</v>
      </c>
      <c r="D68" s="1" t="s">
        <v>257</v>
      </c>
      <c r="E68" s="1" t="s">
        <v>476</v>
      </c>
      <c r="F68" s="1" t="s">
        <v>308</v>
      </c>
      <c r="G68" s="1">
        <v>1</v>
      </c>
      <c r="H68" s="251">
        <v>0.62</v>
      </c>
      <c r="I68" s="209">
        <v>10</v>
      </c>
      <c r="J68" s="18"/>
      <c r="K68" s="294" t="s">
        <v>234</v>
      </c>
      <c r="L68" s="251">
        <f>0.86*2</f>
        <v>1.72</v>
      </c>
      <c r="M68" s="209">
        <f>'PRECIOS INSUMOS 2015'!C$5</f>
        <v>2</v>
      </c>
      <c r="N68" s="18">
        <f t="shared" si="10"/>
        <v>3.44</v>
      </c>
      <c r="O68" s="209">
        <f>G68/H68</f>
        <v>1.6129032258064517</v>
      </c>
      <c r="P68" s="81">
        <v>23.529411764705884</v>
      </c>
      <c r="Q68" s="295">
        <v>25.279411764705884</v>
      </c>
    </row>
    <row r="69" spans="1:17" x14ac:dyDescent="0.2">
      <c r="A69" s="205" t="s">
        <v>391</v>
      </c>
      <c r="B69" s="206" t="s">
        <v>526</v>
      </c>
      <c r="C69" s="207">
        <v>100</v>
      </c>
      <c r="D69" s="207" t="s">
        <v>266</v>
      </c>
      <c r="E69" s="207" t="s">
        <v>267</v>
      </c>
      <c r="F69" s="207" t="s">
        <v>308</v>
      </c>
      <c r="G69" s="207">
        <v>1</v>
      </c>
      <c r="H69" s="241">
        <v>0.5</v>
      </c>
      <c r="I69" s="209"/>
      <c r="J69" s="209">
        <v>10</v>
      </c>
      <c r="K69" s="237" t="s">
        <v>513</v>
      </c>
      <c r="L69" s="241">
        <v>4</v>
      </c>
      <c r="M69" s="209">
        <v>3.8</v>
      </c>
      <c r="N69" s="18">
        <f t="shared" si="10"/>
        <v>15.2</v>
      </c>
      <c r="O69" s="209">
        <f>G69/H69</f>
        <v>2</v>
      </c>
      <c r="P69" s="81">
        <f>(I69+J69)*8*O69</f>
        <v>160</v>
      </c>
      <c r="Q69" s="221">
        <f>N69+P69</f>
        <v>175.2</v>
      </c>
    </row>
    <row r="70" spans="1:17" x14ac:dyDescent="0.2">
      <c r="A70" s="205" t="s">
        <v>392</v>
      </c>
      <c r="B70" s="254" t="s">
        <v>263</v>
      </c>
      <c r="C70" s="207">
        <v>103</v>
      </c>
      <c r="D70" s="207" t="s">
        <v>257</v>
      </c>
      <c r="E70" s="207" t="s">
        <v>476</v>
      </c>
      <c r="F70" s="207" t="s">
        <v>308</v>
      </c>
      <c r="G70" s="207">
        <v>1</v>
      </c>
      <c r="H70" s="241"/>
      <c r="I70" s="209"/>
      <c r="J70" s="209"/>
      <c r="K70" s="237" t="s">
        <v>1365</v>
      </c>
      <c r="L70" s="241">
        <v>0.35</v>
      </c>
      <c r="M70" s="209">
        <v>18</v>
      </c>
      <c r="N70" s="18">
        <f t="shared" si="10"/>
        <v>6.3</v>
      </c>
      <c r="O70" s="209"/>
      <c r="P70" s="81">
        <f>(I70+J70)*8*O70</f>
        <v>0</v>
      </c>
      <c r="Q70" s="221">
        <f>N70+P70</f>
        <v>6.3</v>
      </c>
    </row>
    <row r="71" spans="1:17" x14ac:dyDescent="0.2">
      <c r="A71" s="293" t="s">
        <v>392</v>
      </c>
      <c r="B71" s="12" t="s">
        <v>591</v>
      </c>
      <c r="C71" s="1">
        <v>103</v>
      </c>
      <c r="D71" s="1" t="s">
        <v>257</v>
      </c>
      <c r="E71" s="1" t="s">
        <v>476</v>
      </c>
      <c r="F71" s="1" t="s">
        <v>308</v>
      </c>
      <c r="G71" s="1">
        <v>1</v>
      </c>
      <c r="H71" s="251">
        <v>0.62</v>
      </c>
      <c r="I71" s="209">
        <v>10</v>
      </c>
      <c r="J71" s="18"/>
      <c r="K71" s="294" t="s">
        <v>234</v>
      </c>
      <c r="L71" s="251">
        <f>0.86*2</f>
        <v>1.72</v>
      </c>
      <c r="M71" s="209">
        <f>'PRECIOS INSUMOS 2015'!C$5</f>
        <v>2</v>
      </c>
      <c r="N71" s="18">
        <f t="shared" si="10"/>
        <v>3.44</v>
      </c>
      <c r="O71" s="209">
        <f>G71/H71</f>
        <v>1.6129032258064517</v>
      </c>
      <c r="P71" s="81">
        <v>23.529411764705884</v>
      </c>
      <c r="Q71" s="295">
        <v>25.279411764705884</v>
      </c>
    </row>
    <row r="72" spans="1:17" x14ac:dyDescent="0.2">
      <c r="A72" s="205" t="s">
        <v>393</v>
      </c>
      <c r="B72" s="254" t="s">
        <v>263</v>
      </c>
      <c r="C72" s="207">
        <v>110</v>
      </c>
      <c r="D72" s="207" t="s">
        <v>257</v>
      </c>
      <c r="E72" s="207" t="s">
        <v>476</v>
      </c>
      <c r="F72" s="207" t="s">
        <v>308</v>
      </c>
      <c r="G72" s="207">
        <v>1</v>
      </c>
      <c r="H72" s="241"/>
      <c r="I72" s="209"/>
      <c r="J72" s="209"/>
      <c r="K72" s="237" t="s">
        <v>1365</v>
      </c>
      <c r="L72" s="241">
        <v>0.35</v>
      </c>
      <c r="M72" s="209">
        <v>18</v>
      </c>
      <c r="N72" s="18">
        <f t="shared" si="10"/>
        <v>6.3</v>
      </c>
      <c r="O72" s="209"/>
      <c r="P72" s="81">
        <f>(I72+J72)*8*O72</f>
        <v>0</v>
      </c>
      <c r="Q72" s="221">
        <f>N72+P72</f>
        <v>6.3</v>
      </c>
    </row>
    <row r="73" spans="1:17" x14ac:dyDescent="0.2">
      <c r="A73" s="293" t="s">
        <v>393</v>
      </c>
      <c r="B73" s="12" t="s">
        <v>591</v>
      </c>
      <c r="C73" s="1">
        <v>110</v>
      </c>
      <c r="D73" s="1" t="s">
        <v>257</v>
      </c>
      <c r="E73" s="1" t="s">
        <v>476</v>
      </c>
      <c r="F73" s="1" t="s">
        <v>308</v>
      </c>
      <c r="G73" s="1">
        <v>1</v>
      </c>
      <c r="H73" s="251">
        <v>0.62</v>
      </c>
      <c r="I73" s="209">
        <v>10</v>
      </c>
      <c r="J73" s="18"/>
      <c r="K73" s="294" t="s">
        <v>234</v>
      </c>
      <c r="L73" s="251">
        <f>0.86*2</f>
        <v>1.72</v>
      </c>
      <c r="M73" s="209">
        <f>'PRECIOS INSUMOS 2015'!C$5</f>
        <v>2</v>
      </c>
      <c r="N73" s="18">
        <f t="shared" si="10"/>
        <v>3.44</v>
      </c>
      <c r="O73" s="209">
        <f>G73/H73</f>
        <v>1.6129032258064517</v>
      </c>
      <c r="P73" s="81">
        <v>23.529411764705884</v>
      </c>
      <c r="Q73" s="295">
        <v>25.279411764705884</v>
      </c>
    </row>
    <row r="74" spans="1:17" x14ac:dyDescent="0.2">
      <c r="A74" s="205" t="s">
        <v>395</v>
      </c>
      <c r="B74" s="254" t="s">
        <v>491</v>
      </c>
      <c r="C74" s="207">
        <v>112</v>
      </c>
      <c r="D74" s="207" t="s">
        <v>266</v>
      </c>
      <c r="E74" s="207" t="s">
        <v>272</v>
      </c>
      <c r="F74" s="207" t="s">
        <v>308</v>
      </c>
      <c r="G74" s="207">
        <v>1</v>
      </c>
      <c r="H74" s="241">
        <v>0.62</v>
      </c>
      <c r="I74" s="209"/>
      <c r="J74" s="209">
        <v>10</v>
      </c>
      <c r="K74" s="237"/>
      <c r="L74" s="241"/>
      <c r="M74" s="209"/>
      <c r="N74" s="18"/>
      <c r="O74" s="209">
        <f>G74/H74</f>
        <v>1.6129032258064517</v>
      </c>
      <c r="P74" s="81">
        <f>(I74+J74)*8*O74</f>
        <v>129.03225806451613</v>
      </c>
      <c r="Q74" s="221">
        <f>N74+P74</f>
        <v>129.03225806451613</v>
      </c>
    </row>
    <row r="75" spans="1:17" x14ac:dyDescent="0.2">
      <c r="A75" s="205" t="s">
        <v>396</v>
      </c>
      <c r="B75" s="254" t="s">
        <v>273</v>
      </c>
      <c r="C75" s="207">
        <v>112</v>
      </c>
      <c r="D75" s="207" t="s">
        <v>266</v>
      </c>
      <c r="E75" s="207" t="s">
        <v>272</v>
      </c>
      <c r="F75" s="207" t="s">
        <v>308</v>
      </c>
      <c r="G75" s="207">
        <v>1</v>
      </c>
      <c r="H75" s="209">
        <v>0.62</v>
      </c>
      <c r="I75" s="209"/>
      <c r="J75" s="209">
        <v>10</v>
      </c>
      <c r="K75" s="237"/>
      <c r="L75" s="241"/>
      <c r="M75" s="209"/>
      <c r="N75" s="18"/>
      <c r="O75" s="209">
        <f>G75/H75</f>
        <v>1.6129032258064517</v>
      </c>
      <c r="P75" s="81">
        <f>(I75+J75)*8*O75</f>
        <v>129.03225806451613</v>
      </c>
      <c r="Q75" s="221">
        <f>N75+P75</f>
        <v>129.03225806451613</v>
      </c>
    </row>
    <row r="76" spans="1:17" x14ac:dyDescent="0.2">
      <c r="A76" s="205" t="s">
        <v>397</v>
      </c>
      <c r="B76" s="254" t="s">
        <v>263</v>
      </c>
      <c r="C76" s="207">
        <v>117</v>
      </c>
      <c r="D76" s="207" t="s">
        <v>257</v>
      </c>
      <c r="E76" s="207" t="s">
        <v>476</v>
      </c>
      <c r="F76" s="207" t="s">
        <v>308</v>
      </c>
      <c r="G76" s="207">
        <v>1</v>
      </c>
      <c r="H76" s="241"/>
      <c r="I76" s="209"/>
      <c r="J76" s="209"/>
      <c r="K76" s="237" t="s">
        <v>1365</v>
      </c>
      <c r="L76" s="241">
        <v>0.35</v>
      </c>
      <c r="M76" s="209">
        <v>18</v>
      </c>
      <c r="N76" s="18">
        <f t="shared" ref="N76:N84" si="11">L76*M76</f>
        <v>6.3</v>
      </c>
      <c r="O76" s="209"/>
      <c r="P76" s="81">
        <f>(I76+J76)*8*O76</f>
        <v>0</v>
      </c>
      <c r="Q76" s="221">
        <f>N76+P76</f>
        <v>6.3</v>
      </c>
    </row>
    <row r="77" spans="1:17" x14ac:dyDescent="0.2">
      <c r="A77" s="293" t="s">
        <v>397</v>
      </c>
      <c r="B77" s="12" t="s">
        <v>591</v>
      </c>
      <c r="C77" s="1">
        <v>117</v>
      </c>
      <c r="D77" s="1" t="s">
        <v>257</v>
      </c>
      <c r="E77" s="1" t="s">
        <v>476</v>
      </c>
      <c r="F77" s="1" t="s">
        <v>308</v>
      </c>
      <c r="G77" s="1">
        <v>1</v>
      </c>
      <c r="H77" s="251">
        <v>0.62</v>
      </c>
      <c r="I77" s="209">
        <v>10</v>
      </c>
      <c r="J77" s="18"/>
      <c r="K77" s="294" t="s">
        <v>234</v>
      </c>
      <c r="L77" s="251">
        <f>0.86*2</f>
        <v>1.72</v>
      </c>
      <c r="M77" s="209">
        <f>'PRECIOS INSUMOS 2015'!C$5</f>
        <v>2</v>
      </c>
      <c r="N77" s="18">
        <f t="shared" si="11"/>
        <v>3.44</v>
      </c>
      <c r="O77" s="209">
        <f>G77/H77</f>
        <v>1.6129032258064517</v>
      </c>
      <c r="P77" s="81">
        <v>23.529411764705884</v>
      </c>
      <c r="Q77" s="295">
        <v>25.279411764705884</v>
      </c>
    </row>
    <row r="78" spans="1:17" x14ac:dyDescent="0.2">
      <c r="A78" s="205" t="s">
        <v>398</v>
      </c>
      <c r="B78" s="254" t="s">
        <v>263</v>
      </c>
      <c r="C78" s="207">
        <v>124</v>
      </c>
      <c r="D78" s="207" t="s">
        <v>257</v>
      </c>
      <c r="E78" s="207" t="s">
        <v>476</v>
      </c>
      <c r="F78" s="207" t="s">
        <v>308</v>
      </c>
      <c r="G78" s="207">
        <v>1</v>
      </c>
      <c r="H78" s="241"/>
      <c r="I78" s="209"/>
      <c r="J78" s="209"/>
      <c r="K78" s="237" t="s">
        <v>1365</v>
      </c>
      <c r="L78" s="241">
        <v>0.35</v>
      </c>
      <c r="M78" s="209">
        <v>18</v>
      </c>
      <c r="N78" s="18">
        <f t="shared" si="11"/>
        <v>6.3</v>
      </c>
      <c r="O78" s="209"/>
      <c r="P78" s="81">
        <f>(I78+J78)*8*O78</f>
        <v>0</v>
      </c>
      <c r="Q78" s="221">
        <f>N78+P78</f>
        <v>6.3</v>
      </c>
    </row>
    <row r="79" spans="1:17" x14ac:dyDescent="0.2">
      <c r="A79" s="293" t="s">
        <v>398</v>
      </c>
      <c r="B79" s="12" t="s">
        <v>591</v>
      </c>
      <c r="C79" s="1">
        <v>124</v>
      </c>
      <c r="D79" s="1" t="s">
        <v>257</v>
      </c>
      <c r="E79" s="1" t="s">
        <v>476</v>
      </c>
      <c r="F79" s="1" t="s">
        <v>308</v>
      </c>
      <c r="G79" s="1">
        <v>1</v>
      </c>
      <c r="H79" s="251">
        <v>0.62</v>
      </c>
      <c r="I79" s="209">
        <v>10</v>
      </c>
      <c r="J79" s="18"/>
      <c r="K79" s="294" t="s">
        <v>234</v>
      </c>
      <c r="L79" s="251">
        <f>0.86*2</f>
        <v>1.72</v>
      </c>
      <c r="M79" s="209">
        <f>'PRECIOS INSUMOS 2015'!C$5</f>
        <v>2</v>
      </c>
      <c r="N79" s="18">
        <f t="shared" si="11"/>
        <v>3.44</v>
      </c>
      <c r="O79" s="209">
        <f>G79/H79</f>
        <v>1.6129032258064517</v>
      </c>
      <c r="P79" s="81">
        <v>23.529411764705884</v>
      </c>
      <c r="Q79" s="295">
        <v>25.279411764705884</v>
      </c>
    </row>
    <row r="80" spans="1:17" x14ac:dyDescent="0.2">
      <c r="A80" s="205" t="s">
        <v>399</v>
      </c>
      <c r="B80" s="254" t="s">
        <v>263</v>
      </c>
      <c r="C80" s="207">
        <v>130</v>
      </c>
      <c r="D80" s="207" t="s">
        <v>257</v>
      </c>
      <c r="E80" s="207" t="s">
        <v>476</v>
      </c>
      <c r="F80" s="207" t="s">
        <v>308</v>
      </c>
      <c r="G80" s="207">
        <v>1</v>
      </c>
      <c r="H80" s="241"/>
      <c r="I80" s="209"/>
      <c r="J80" s="209"/>
      <c r="K80" s="237" t="s">
        <v>1365</v>
      </c>
      <c r="L80" s="241">
        <v>0.35</v>
      </c>
      <c r="M80" s="209">
        <v>18</v>
      </c>
      <c r="N80" s="18">
        <f t="shared" si="11"/>
        <v>6.3</v>
      </c>
      <c r="O80" s="209"/>
      <c r="P80" s="81">
        <f>(I80+J80)*8*O80</f>
        <v>0</v>
      </c>
      <c r="Q80" s="221">
        <f>N80+P80</f>
        <v>6.3</v>
      </c>
    </row>
    <row r="81" spans="1:17" x14ac:dyDescent="0.2">
      <c r="A81" s="293" t="s">
        <v>399</v>
      </c>
      <c r="B81" s="12" t="s">
        <v>591</v>
      </c>
      <c r="C81" s="1">
        <v>130</v>
      </c>
      <c r="D81" s="1" t="s">
        <v>257</v>
      </c>
      <c r="E81" s="1" t="s">
        <v>476</v>
      </c>
      <c r="F81" s="1" t="s">
        <v>308</v>
      </c>
      <c r="G81" s="1">
        <v>1</v>
      </c>
      <c r="H81" s="251">
        <v>0.62</v>
      </c>
      <c r="I81" s="209">
        <v>10</v>
      </c>
      <c r="J81" s="18"/>
      <c r="K81" s="294" t="s">
        <v>234</v>
      </c>
      <c r="L81" s="251">
        <f>0.86*2</f>
        <v>1.72</v>
      </c>
      <c r="M81" s="209">
        <f>'PRECIOS INSUMOS 2015'!C$5</f>
        <v>2</v>
      </c>
      <c r="N81" s="18">
        <f t="shared" si="11"/>
        <v>3.44</v>
      </c>
      <c r="O81" s="209">
        <f>G81/H81</f>
        <v>1.6129032258064517</v>
      </c>
      <c r="P81" s="81">
        <v>23.529411764705884</v>
      </c>
      <c r="Q81" s="295">
        <v>25.279411764705884</v>
      </c>
    </row>
    <row r="82" spans="1:17" x14ac:dyDescent="0.2">
      <c r="A82" s="205" t="s">
        <v>401</v>
      </c>
      <c r="B82" s="206" t="s">
        <v>526</v>
      </c>
      <c r="C82" s="207">
        <v>132</v>
      </c>
      <c r="D82" s="207" t="s">
        <v>266</v>
      </c>
      <c r="E82" s="207" t="s">
        <v>267</v>
      </c>
      <c r="F82" s="207" t="s">
        <v>308</v>
      </c>
      <c r="G82" s="207">
        <v>1</v>
      </c>
      <c r="H82" s="241">
        <v>0.5</v>
      </c>
      <c r="I82" s="209"/>
      <c r="J82" s="209">
        <v>10</v>
      </c>
      <c r="K82" s="237" t="s">
        <v>513</v>
      </c>
      <c r="L82" s="241">
        <v>4</v>
      </c>
      <c r="M82" s="209">
        <v>3.8</v>
      </c>
      <c r="N82" s="18">
        <f t="shared" si="11"/>
        <v>15.2</v>
      </c>
      <c r="O82" s="209">
        <f>G82/H82</f>
        <v>2</v>
      </c>
      <c r="P82" s="81">
        <f>(I82+J82)*8*O82</f>
        <v>160</v>
      </c>
      <c r="Q82" s="221">
        <f>N82+P82</f>
        <v>175.2</v>
      </c>
    </row>
    <row r="83" spans="1:17" x14ac:dyDescent="0.2">
      <c r="A83" s="205" t="s">
        <v>402</v>
      </c>
      <c r="B83" s="254" t="s">
        <v>263</v>
      </c>
      <c r="C83" s="207">
        <v>137</v>
      </c>
      <c r="D83" s="207" t="s">
        <v>257</v>
      </c>
      <c r="E83" s="207" t="s">
        <v>476</v>
      </c>
      <c r="F83" s="207" t="s">
        <v>308</v>
      </c>
      <c r="G83" s="207">
        <v>1</v>
      </c>
      <c r="H83" s="241"/>
      <c r="I83" s="209"/>
      <c r="J83" s="209"/>
      <c r="K83" s="237" t="s">
        <v>1365</v>
      </c>
      <c r="L83" s="241">
        <v>0.35</v>
      </c>
      <c r="M83" s="209">
        <v>18</v>
      </c>
      <c r="N83" s="18">
        <f t="shared" si="11"/>
        <v>6.3</v>
      </c>
      <c r="O83" s="209"/>
      <c r="P83" s="81">
        <f>(I83+J83)*8*O83</f>
        <v>0</v>
      </c>
      <c r="Q83" s="221">
        <f>N83+P83</f>
        <v>6.3</v>
      </c>
    </row>
    <row r="84" spans="1:17" x14ac:dyDescent="0.2">
      <c r="A84" s="293" t="s">
        <v>402</v>
      </c>
      <c r="B84" s="12" t="s">
        <v>591</v>
      </c>
      <c r="C84" s="1">
        <v>137</v>
      </c>
      <c r="D84" s="1" t="s">
        <v>257</v>
      </c>
      <c r="E84" s="1" t="s">
        <v>476</v>
      </c>
      <c r="F84" s="1" t="s">
        <v>308</v>
      </c>
      <c r="G84" s="1">
        <v>1</v>
      </c>
      <c r="H84" s="251">
        <v>0.62</v>
      </c>
      <c r="I84" s="209">
        <v>10</v>
      </c>
      <c r="J84" s="18"/>
      <c r="K84" s="294" t="s">
        <v>234</v>
      </c>
      <c r="L84" s="251">
        <f>0.86*2</f>
        <v>1.72</v>
      </c>
      <c r="M84" s="209">
        <f>'PRECIOS INSUMOS 2015'!C$5</f>
        <v>2</v>
      </c>
      <c r="N84" s="18">
        <f t="shared" si="11"/>
        <v>3.44</v>
      </c>
      <c r="O84" s="209">
        <f>G84/H84</f>
        <v>1.6129032258064517</v>
      </c>
      <c r="P84" s="81">
        <v>23.529411764705884</v>
      </c>
      <c r="Q84" s="295">
        <v>25.279411764705884</v>
      </c>
    </row>
    <row r="85" spans="1:17" x14ac:dyDescent="0.2">
      <c r="A85" s="297" t="s">
        <v>403</v>
      </c>
      <c r="B85" s="298" t="s">
        <v>491</v>
      </c>
      <c r="C85" s="213">
        <v>140</v>
      </c>
      <c r="D85" s="213" t="s">
        <v>266</v>
      </c>
      <c r="E85" s="213" t="s">
        <v>272</v>
      </c>
      <c r="F85" s="213" t="s">
        <v>308</v>
      </c>
      <c r="G85" s="213">
        <v>1</v>
      </c>
      <c r="H85" s="218">
        <v>0.62</v>
      </c>
      <c r="I85" s="219"/>
      <c r="J85" s="209">
        <v>10</v>
      </c>
      <c r="K85" s="217"/>
      <c r="L85" s="218"/>
      <c r="M85" s="219"/>
      <c r="N85" s="104"/>
      <c r="O85" s="219">
        <f>G85/H85</f>
        <v>1.6129032258064517</v>
      </c>
      <c r="P85" s="299">
        <f>(I85+J85)*8*O85</f>
        <v>129.03225806451613</v>
      </c>
      <c r="Q85" s="300">
        <f>N85+P85</f>
        <v>129.03225806451613</v>
      </c>
    </row>
    <row r="86" spans="1:17" x14ac:dyDescent="0.2">
      <c r="A86" s="302" t="s">
        <v>404</v>
      </c>
      <c r="B86" s="303" t="s">
        <v>273</v>
      </c>
      <c r="C86" s="304">
        <v>140</v>
      </c>
      <c r="D86" s="304" t="s">
        <v>266</v>
      </c>
      <c r="E86" s="304" t="s">
        <v>272</v>
      </c>
      <c r="F86" s="304" t="s">
        <v>308</v>
      </c>
      <c r="G86" s="304">
        <v>1</v>
      </c>
      <c r="H86" s="306">
        <v>0.62</v>
      </c>
      <c r="I86" s="306"/>
      <c r="J86" s="209">
        <v>10</v>
      </c>
      <c r="K86" s="307"/>
      <c r="L86" s="305"/>
      <c r="M86" s="306"/>
      <c r="N86" s="57"/>
      <c r="O86" s="306">
        <f>G86/H86</f>
        <v>1.6129032258064517</v>
      </c>
      <c r="P86" s="308">
        <f>(I86+J86)*8*O86</f>
        <v>129.03225806451613</v>
      </c>
      <c r="Q86" s="309">
        <f>N86+P86</f>
        <v>129.03225806451613</v>
      </c>
    </row>
    <row r="87" spans="1:17" x14ac:dyDescent="0.2">
      <c r="A87" s="205" t="s">
        <v>405</v>
      </c>
      <c r="B87" s="254" t="s">
        <v>528</v>
      </c>
      <c r="C87" s="207">
        <v>141</v>
      </c>
      <c r="D87" s="207" t="s">
        <v>266</v>
      </c>
      <c r="E87" s="207" t="s">
        <v>268</v>
      </c>
      <c r="F87" s="207" t="s">
        <v>308</v>
      </c>
      <c r="G87" s="207">
        <v>1</v>
      </c>
      <c r="H87" s="241">
        <v>0.17</v>
      </c>
      <c r="I87" s="209"/>
      <c r="J87" s="209">
        <v>10</v>
      </c>
      <c r="K87" s="237" t="s">
        <v>515</v>
      </c>
      <c r="L87" s="241">
        <v>0.25</v>
      </c>
      <c r="M87" s="209">
        <f>'PRECIOS INSUMOS 2015'!E$193</f>
        <v>1500</v>
      </c>
      <c r="N87" s="18">
        <f>L87*M87</f>
        <v>375</v>
      </c>
      <c r="O87" s="209">
        <f>G87/H87</f>
        <v>5.8823529411764701</v>
      </c>
      <c r="P87" s="81">
        <f>(I87+J87)*8*O87</f>
        <v>470.58823529411762</v>
      </c>
      <c r="Q87" s="221">
        <f>N87+P87</f>
        <v>845.58823529411757</v>
      </c>
    </row>
    <row r="88" spans="1:17" x14ac:dyDescent="0.2">
      <c r="A88" s="205" t="s">
        <v>406</v>
      </c>
      <c r="B88" s="254" t="s">
        <v>528</v>
      </c>
      <c r="C88" s="207">
        <v>141</v>
      </c>
      <c r="D88" s="207" t="s">
        <v>266</v>
      </c>
      <c r="E88" s="207" t="s">
        <v>268</v>
      </c>
      <c r="F88" s="207" t="s">
        <v>308</v>
      </c>
      <c r="G88" s="207">
        <v>1</v>
      </c>
      <c r="H88" s="310">
        <v>0.17</v>
      </c>
      <c r="I88" s="209"/>
      <c r="J88" s="209">
        <v>10</v>
      </c>
      <c r="K88" s="237" t="s">
        <v>514</v>
      </c>
      <c r="L88" s="241">
        <v>1.5</v>
      </c>
      <c r="M88" s="209"/>
      <c r="N88" s="18"/>
      <c r="O88" s="209">
        <f>G88/H88</f>
        <v>5.8823529411764701</v>
      </c>
      <c r="P88" s="81">
        <f>(I88+J88)*8*O88</f>
        <v>470.58823529411762</v>
      </c>
      <c r="Q88" s="221">
        <f>N88+P88</f>
        <v>470.58823529411762</v>
      </c>
    </row>
    <row r="89" spans="1:17" x14ac:dyDescent="0.2">
      <c r="A89" s="205" t="s">
        <v>407</v>
      </c>
      <c r="B89" s="254" t="s">
        <v>263</v>
      </c>
      <c r="C89" s="207">
        <v>144</v>
      </c>
      <c r="D89" s="207" t="s">
        <v>257</v>
      </c>
      <c r="E89" s="207" t="s">
        <v>476</v>
      </c>
      <c r="F89" s="207" t="s">
        <v>308</v>
      </c>
      <c r="G89" s="207">
        <v>1</v>
      </c>
      <c r="H89" s="241"/>
      <c r="I89" s="209"/>
      <c r="J89" s="209"/>
      <c r="K89" s="237" t="s">
        <v>1365</v>
      </c>
      <c r="L89" s="241">
        <v>0.35</v>
      </c>
      <c r="M89" s="209">
        <v>18</v>
      </c>
      <c r="N89" s="18">
        <f t="shared" ref="N89:N94" si="12">L89*M89</f>
        <v>6.3</v>
      </c>
      <c r="O89" s="209"/>
      <c r="P89" s="81">
        <f>(I89+J89)*8*O89</f>
        <v>0</v>
      </c>
      <c r="Q89" s="221">
        <f>N89+P89</f>
        <v>6.3</v>
      </c>
    </row>
    <row r="90" spans="1:17" x14ac:dyDescent="0.2">
      <c r="A90" s="293" t="s">
        <v>407</v>
      </c>
      <c r="B90" s="12" t="s">
        <v>591</v>
      </c>
      <c r="C90" s="1">
        <v>144</v>
      </c>
      <c r="D90" s="1" t="s">
        <v>257</v>
      </c>
      <c r="E90" s="1" t="s">
        <v>476</v>
      </c>
      <c r="F90" s="1" t="s">
        <v>308</v>
      </c>
      <c r="G90" s="1">
        <v>1</v>
      </c>
      <c r="H90" s="251">
        <v>0.62</v>
      </c>
      <c r="I90" s="209">
        <v>10</v>
      </c>
      <c r="J90" s="18"/>
      <c r="K90" s="294" t="s">
        <v>234</v>
      </c>
      <c r="L90" s="251">
        <f>0.86*2</f>
        <v>1.72</v>
      </c>
      <c r="M90" s="209">
        <f>'PRECIOS INSUMOS 2015'!C$5</f>
        <v>2</v>
      </c>
      <c r="N90" s="18">
        <f t="shared" si="12"/>
        <v>3.44</v>
      </c>
      <c r="O90" s="209">
        <f>G90/H90</f>
        <v>1.6129032258064517</v>
      </c>
      <c r="P90" s="81">
        <v>23.529411764705884</v>
      </c>
      <c r="Q90" s="295">
        <v>25.279411764705884</v>
      </c>
    </row>
    <row r="91" spans="1:17" x14ac:dyDescent="0.2">
      <c r="A91" s="205" t="s">
        <v>408</v>
      </c>
      <c r="B91" s="254" t="s">
        <v>263</v>
      </c>
      <c r="C91" s="207">
        <v>151</v>
      </c>
      <c r="D91" s="207" t="s">
        <v>257</v>
      </c>
      <c r="E91" s="207" t="s">
        <v>476</v>
      </c>
      <c r="F91" s="207" t="s">
        <v>308</v>
      </c>
      <c r="G91" s="207">
        <v>1</v>
      </c>
      <c r="H91" s="241"/>
      <c r="I91" s="209"/>
      <c r="J91" s="209"/>
      <c r="K91" s="237" t="s">
        <v>1365</v>
      </c>
      <c r="L91" s="241">
        <v>0.35</v>
      </c>
      <c r="M91" s="209">
        <v>18</v>
      </c>
      <c r="N91" s="18">
        <f t="shared" si="12"/>
        <v>6.3</v>
      </c>
      <c r="O91" s="209"/>
      <c r="P91" s="81">
        <f>(I91+J91)*8*O91</f>
        <v>0</v>
      </c>
      <c r="Q91" s="221">
        <f>N91+P91</f>
        <v>6.3</v>
      </c>
    </row>
    <row r="92" spans="1:17" x14ac:dyDescent="0.2">
      <c r="A92" s="293" t="s">
        <v>408</v>
      </c>
      <c r="B92" s="12" t="s">
        <v>591</v>
      </c>
      <c r="C92" s="1">
        <v>151</v>
      </c>
      <c r="D92" s="1" t="s">
        <v>257</v>
      </c>
      <c r="E92" s="1" t="s">
        <v>476</v>
      </c>
      <c r="F92" s="1" t="s">
        <v>308</v>
      </c>
      <c r="G92" s="1">
        <v>1</v>
      </c>
      <c r="H92" s="251">
        <v>0.62</v>
      </c>
      <c r="I92" s="209">
        <v>10</v>
      </c>
      <c r="J92" s="18"/>
      <c r="K92" s="294" t="s">
        <v>234</v>
      </c>
      <c r="L92" s="251">
        <f>0.86*2</f>
        <v>1.72</v>
      </c>
      <c r="M92" s="209">
        <f>'PRECIOS INSUMOS 2015'!C$5</f>
        <v>2</v>
      </c>
      <c r="N92" s="18">
        <f t="shared" si="12"/>
        <v>3.44</v>
      </c>
      <c r="O92" s="209">
        <f>G92/H92</f>
        <v>1.6129032258064517</v>
      </c>
      <c r="P92" s="81">
        <v>23.529411764705884</v>
      </c>
      <c r="Q92" s="295">
        <v>25.279411764705884</v>
      </c>
    </row>
    <row r="93" spans="1:17" x14ac:dyDescent="0.2">
      <c r="A93" s="205" t="s">
        <v>409</v>
      </c>
      <c r="B93" s="254" t="s">
        <v>263</v>
      </c>
      <c r="C93" s="207">
        <v>158</v>
      </c>
      <c r="D93" s="207" t="s">
        <v>257</v>
      </c>
      <c r="E93" s="207" t="s">
        <v>476</v>
      </c>
      <c r="F93" s="207" t="s">
        <v>308</v>
      </c>
      <c r="G93" s="207">
        <v>1</v>
      </c>
      <c r="H93" s="241"/>
      <c r="I93" s="209"/>
      <c r="J93" s="209"/>
      <c r="K93" s="237" t="s">
        <v>1365</v>
      </c>
      <c r="L93" s="241">
        <v>0.35</v>
      </c>
      <c r="M93" s="209">
        <v>18</v>
      </c>
      <c r="N93" s="18">
        <f t="shared" si="12"/>
        <v>6.3</v>
      </c>
      <c r="O93" s="209"/>
      <c r="P93" s="81">
        <f>(I93+J93)*8*O93</f>
        <v>0</v>
      </c>
      <c r="Q93" s="221">
        <f>N93+P93</f>
        <v>6.3</v>
      </c>
    </row>
    <row r="94" spans="1:17" x14ac:dyDescent="0.2">
      <c r="A94" s="293" t="s">
        <v>409</v>
      </c>
      <c r="B94" s="12" t="s">
        <v>591</v>
      </c>
      <c r="C94" s="1">
        <v>158</v>
      </c>
      <c r="D94" s="1" t="s">
        <v>257</v>
      </c>
      <c r="E94" s="1" t="s">
        <v>476</v>
      </c>
      <c r="F94" s="1" t="s">
        <v>308</v>
      </c>
      <c r="G94" s="1">
        <v>1</v>
      </c>
      <c r="H94" s="251">
        <v>0.62</v>
      </c>
      <c r="I94" s="209">
        <v>10</v>
      </c>
      <c r="J94" s="18"/>
      <c r="K94" s="294" t="s">
        <v>234</v>
      </c>
      <c r="L94" s="251">
        <f>0.86*2</f>
        <v>1.72</v>
      </c>
      <c r="M94" s="209">
        <f>'PRECIOS INSUMOS 2015'!C$5</f>
        <v>2</v>
      </c>
      <c r="N94" s="18">
        <f t="shared" si="12"/>
        <v>3.44</v>
      </c>
      <c r="O94" s="209">
        <f>G94/H94</f>
        <v>1.6129032258064517</v>
      </c>
      <c r="P94" s="81">
        <v>23.529411764705884</v>
      </c>
      <c r="Q94" s="295">
        <v>25.279411764705884</v>
      </c>
    </row>
    <row r="95" spans="1:17" x14ac:dyDescent="0.2">
      <c r="A95" s="205" t="s">
        <v>410</v>
      </c>
      <c r="B95" s="254" t="s">
        <v>491</v>
      </c>
      <c r="C95" s="207">
        <v>160</v>
      </c>
      <c r="D95" s="207" t="s">
        <v>266</v>
      </c>
      <c r="E95" s="207" t="s">
        <v>272</v>
      </c>
      <c r="F95" s="207" t="s">
        <v>308</v>
      </c>
      <c r="G95" s="207">
        <v>1</v>
      </c>
      <c r="H95" s="241">
        <v>0.62</v>
      </c>
      <c r="I95" s="209"/>
      <c r="J95" s="209">
        <v>10</v>
      </c>
      <c r="K95" s="237"/>
      <c r="L95" s="241"/>
      <c r="M95" s="209"/>
      <c r="N95" s="18"/>
      <c r="O95" s="209">
        <f>G95/H95</f>
        <v>1.6129032258064517</v>
      </c>
      <c r="P95" s="81">
        <f>(I95+J95)*8*O95</f>
        <v>129.03225806451613</v>
      </c>
      <c r="Q95" s="221">
        <f>N95+P95</f>
        <v>129.03225806451613</v>
      </c>
    </row>
    <row r="96" spans="1:17" x14ac:dyDescent="0.2">
      <c r="A96" s="205" t="s">
        <v>411</v>
      </c>
      <c r="B96" s="254" t="s">
        <v>273</v>
      </c>
      <c r="C96" s="207">
        <v>160</v>
      </c>
      <c r="D96" s="207" t="s">
        <v>266</v>
      </c>
      <c r="E96" s="207" t="s">
        <v>272</v>
      </c>
      <c r="F96" s="207" t="s">
        <v>308</v>
      </c>
      <c r="G96" s="207">
        <v>1</v>
      </c>
      <c r="H96" s="209">
        <v>0.62</v>
      </c>
      <c r="I96" s="209"/>
      <c r="J96" s="209">
        <v>10</v>
      </c>
      <c r="K96" s="237"/>
      <c r="L96" s="241"/>
      <c r="M96" s="209"/>
      <c r="N96" s="18"/>
      <c r="O96" s="209">
        <f>G96/H96</f>
        <v>1.6129032258064517</v>
      </c>
      <c r="P96" s="81">
        <f>(I96+J96)*8*O96</f>
        <v>129.03225806451613</v>
      </c>
      <c r="Q96" s="221">
        <f>N96+P96</f>
        <v>129.03225806451613</v>
      </c>
    </row>
    <row r="97" spans="1:17" x14ac:dyDescent="0.2">
      <c r="A97" s="205" t="s">
        <v>412</v>
      </c>
      <c r="B97" s="206" t="s">
        <v>527</v>
      </c>
      <c r="C97" s="207">
        <v>162</v>
      </c>
      <c r="D97" s="207" t="s">
        <v>266</v>
      </c>
      <c r="E97" s="207" t="s">
        <v>267</v>
      </c>
      <c r="F97" s="207" t="s">
        <v>308</v>
      </c>
      <c r="G97" s="207">
        <v>1</v>
      </c>
      <c r="H97" s="241">
        <v>0.5</v>
      </c>
      <c r="I97" s="209"/>
      <c r="J97" s="209">
        <v>10</v>
      </c>
      <c r="K97" s="237" t="s">
        <v>511</v>
      </c>
      <c r="L97" s="241">
        <v>2</v>
      </c>
      <c r="M97" s="209">
        <v>9.9700000000000006</v>
      </c>
      <c r="N97" s="18">
        <f t="shared" ref="N97:N106" si="13">L97*M97</f>
        <v>19.940000000000001</v>
      </c>
      <c r="O97" s="209">
        <f>G97/H97</f>
        <v>2</v>
      </c>
      <c r="P97" s="81">
        <f>(I97+J97)*8*O97</f>
        <v>160</v>
      </c>
      <c r="Q97" s="221">
        <f>N97+P97</f>
        <v>179.94</v>
      </c>
    </row>
    <row r="98" spans="1:17" x14ac:dyDescent="0.2">
      <c r="A98" s="205" t="s">
        <v>413</v>
      </c>
      <c r="B98" s="254" t="s">
        <v>263</v>
      </c>
      <c r="C98" s="207">
        <v>165</v>
      </c>
      <c r="D98" s="207" t="s">
        <v>257</v>
      </c>
      <c r="E98" s="207" t="s">
        <v>476</v>
      </c>
      <c r="F98" s="207" t="s">
        <v>308</v>
      </c>
      <c r="G98" s="207">
        <v>1</v>
      </c>
      <c r="H98" s="241"/>
      <c r="I98" s="209"/>
      <c r="J98" s="209"/>
      <c r="K98" s="237" t="s">
        <v>1365</v>
      </c>
      <c r="L98" s="241">
        <v>0.35</v>
      </c>
      <c r="M98" s="209">
        <v>18</v>
      </c>
      <c r="N98" s="18">
        <f t="shared" si="13"/>
        <v>6.3</v>
      </c>
      <c r="O98" s="209"/>
      <c r="P98" s="81">
        <f>(I98+J98)*8*O98</f>
        <v>0</v>
      </c>
      <c r="Q98" s="221">
        <f>N98+P98</f>
        <v>6.3</v>
      </c>
    </row>
    <row r="99" spans="1:17" x14ac:dyDescent="0.2">
      <c r="A99" s="293" t="s">
        <v>413</v>
      </c>
      <c r="B99" s="12" t="s">
        <v>591</v>
      </c>
      <c r="C99" s="1">
        <v>165</v>
      </c>
      <c r="D99" s="1" t="s">
        <v>257</v>
      </c>
      <c r="E99" s="1" t="s">
        <v>476</v>
      </c>
      <c r="F99" s="1" t="s">
        <v>308</v>
      </c>
      <c r="G99" s="1">
        <v>1</v>
      </c>
      <c r="H99" s="251">
        <v>0.62</v>
      </c>
      <c r="I99" s="209">
        <v>10</v>
      </c>
      <c r="J99" s="18"/>
      <c r="K99" s="294" t="s">
        <v>234</v>
      </c>
      <c r="L99" s="251">
        <f>0.86*2</f>
        <v>1.72</v>
      </c>
      <c r="M99" s="209">
        <f>'PRECIOS INSUMOS 2015'!C$5</f>
        <v>2</v>
      </c>
      <c r="N99" s="18">
        <f t="shared" si="13"/>
        <v>3.44</v>
      </c>
      <c r="O99" s="209">
        <f>G99/H99</f>
        <v>1.6129032258064517</v>
      </c>
      <c r="P99" s="81">
        <v>23.529411764705884</v>
      </c>
      <c r="Q99" s="295">
        <v>25.279411764705884</v>
      </c>
    </row>
    <row r="100" spans="1:17" x14ac:dyDescent="0.2">
      <c r="A100" s="205" t="s">
        <v>414</v>
      </c>
      <c r="B100" s="254" t="s">
        <v>263</v>
      </c>
      <c r="C100" s="207">
        <v>172</v>
      </c>
      <c r="D100" s="207" t="s">
        <v>257</v>
      </c>
      <c r="E100" s="207" t="s">
        <v>476</v>
      </c>
      <c r="F100" s="207" t="s">
        <v>308</v>
      </c>
      <c r="G100" s="207">
        <v>1</v>
      </c>
      <c r="H100" s="241"/>
      <c r="I100" s="209"/>
      <c r="J100" s="209"/>
      <c r="K100" s="237" t="s">
        <v>1365</v>
      </c>
      <c r="L100" s="241">
        <v>0.35</v>
      </c>
      <c r="M100" s="209">
        <v>18</v>
      </c>
      <c r="N100" s="18">
        <f t="shared" si="13"/>
        <v>6.3</v>
      </c>
      <c r="O100" s="209"/>
      <c r="P100" s="81">
        <f>(I100+J100)*8*O100</f>
        <v>0</v>
      </c>
      <c r="Q100" s="221">
        <f>N100+P100</f>
        <v>6.3</v>
      </c>
    </row>
    <row r="101" spans="1:17" x14ac:dyDescent="0.2">
      <c r="A101" s="293" t="s">
        <v>414</v>
      </c>
      <c r="B101" s="12" t="s">
        <v>591</v>
      </c>
      <c r="C101" s="1">
        <v>172</v>
      </c>
      <c r="D101" s="1" t="s">
        <v>257</v>
      </c>
      <c r="E101" s="1" t="s">
        <v>476</v>
      </c>
      <c r="F101" s="1" t="s">
        <v>308</v>
      </c>
      <c r="G101" s="1">
        <v>1</v>
      </c>
      <c r="H101" s="251">
        <v>0.62</v>
      </c>
      <c r="I101" s="209">
        <v>10</v>
      </c>
      <c r="J101" s="18"/>
      <c r="K101" s="294" t="s">
        <v>234</v>
      </c>
      <c r="L101" s="251">
        <f>0.86*2</f>
        <v>1.72</v>
      </c>
      <c r="M101" s="209">
        <f>'PRECIOS INSUMOS 2015'!C$5</f>
        <v>2</v>
      </c>
      <c r="N101" s="18">
        <f t="shared" si="13"/>
        <v>3.44</v>
      </c>
      <c r="O101" s="209">
        <f>G101/H101</f>
        <v>1.6129032258064517</v>
      </c>
      <c r="P101" s="81">
        <v>23.529411764705884</v>
      </c>
      <c r="Q101" s="295">
        <v>25.279411764705884</v>
      </c>
    </row>
    <row r="102" spans="1:17" x14ac:dyDescent="0.2">
      <c r="A102" s="205" t="s">
        <v>415</v>
      </c>
      <c r="B102" s="254" t="s">
        <v>263</v>
      </c>
      <c r="C102" s="207">
        <v>179</v>
      </c>
      <c r="D102" s="207" t="s">
        <v>257</v>
      </c>
      <c r="E102" s="207" t="s">
        <v>476</v>
      </c>
      <c r="F102" s="207" t="s">
        <v>308</v>
      </c>
      <c r="G102" s="207">
        <v>1</v>
      </c>
      <c r="H102" s="241"/>
      <c r="I102" s="209"/>
      <c r="J102" s="209"/>
      <c r="K102" s="237" t="s">
        <v>1365</v>
      </c>
      <c r="L102" s="241">
        <v>0.35</v>
      </c>
      <c r="M102" s="209">
        <v>18</v>
      </c>
      <c r="N102" s="18">
        <f t="shared" si="13"/>
        <v>6.3</v>
      </c>
      <c r="O102" s="209"/>
      <c r="P102" s="81">
        <f>(I102+J102)*8*O102</f>
        <v>0</v>
      </c>
      <c r="Q102" s="221">
        <f>N102+P102</f>
        <v>6.3</v>
      </c>
    </row>
    <row r="103" spans="1:17" x14ac:dyDescent="0.2">
      <c r="A103" s="293" t="s">
        <v>415</v>
      </c>
      <c r="B103" s="12" t="s">
        <v>591</v>
      </c>
      <c r="C103" s="1">
        <v>179</v>
      </c>
      <c r="D103" s="1" t="s">
        <v>257</v>
      </c>
      <c r="E103" s="1" t="s">
        <v>476</v>
      </c>
      <c r="F103" s="1" t="s">
        <v>308</v>
      </c>
      <c r="G103" s="1">
        <v>1</v>
      </c>
      <c r="H103" s="251">
        <v>0.62</v>
      </c>
      <c r="I103" s="209">
        <v>10</v>
      </c>
      <c r="J103" s="18"/>
      <c r="K103" s="294" t="s">
        <v>234</v>
      </c>
      <c r="L103" s="251">
        <f>0.86*2</f>
        <v>1.72</v>
      </c>
      <c r="M103" s="209">
        <f>'PRECIOS INSUMOS 2015'!C$5</f>
        <v>2</v>
      </c>
      <c r="N103" s="18">
        <f t="shared" si="13"/>
        <v>3.44</v>
      </c>
      <c r="O103" s="209">
        <f>G103/H103</f>
        <v>1.6129032258064517</v>
      </c>
      <c r="P103" s="81">
        <v>23.529411764705884</v>
      </c>
      <c r="Q103" s="295">
        <v>25.279411764705884</v>
      </c>
    </row>
    <row r="104" spans="1:17" x14ac:dyDescent="0.2">
      <c r="A104" s="205" t="s">
        <v>416</v>
      </c>
      <c r="B104" s="254" t="s">
        <v>528</v>
      </c>
      <c r="C104" s="207">
        <v>181</v>
      </c>
      <c r="D104" s="207" t="s">
        <v>266</v>
      </c>
      <c r="E104" s="207" t="s">
        <v>268</v>
      </c>
      <c r="F104" s="207" t="s">
        <v>308</v>
      </c>
      <c r="G104" s="207">
        <v>1</v>
      </c>
      <c r="H104" s="241">
        <v>0.17</v>
      </c>
      <c r="I104" s="209"/>
      <c r="J104" s="209">
        <v>10</v>
      </c>
      <c r="K104" s="237" t="s">
        <v>515</v>
      </c>
      <c r="L104" s="241">
        <v>0.25</v>
      </c>
      <c r="M104" s="209">
        <f>'PRECIOS INSUMOS 2015'!E$193</f>
        <v>1500</v>
      </c>
      <c r="N104" s="18">
        <f t="shared" si="13"/>
        <v>375</v>
      </c>
      <c r="O104" s="209">
        <f>G104/H104</f>
        <v>5.8823529411764701</v>
      </c>
      <c r="P104" s="81">
        <f>(I104+J104)*8*O104</f>
        <v>470.58823529411762</v>
      </c>
      <c r="Q104" s="221">
        <f>N104+P104</f>
        <v>845.58823529411757</v>
      </c>
    </row>
    <row r="105" spans="1:17" x14ac:dyDescent="0.2">
      <c r="A105" s="205" t="s">
        <v>417</v>
      </c>
      <c r="B105" s="254" t="s">
        <v>263</v>
      </c>
      <c r="C105" s="207">
        <v>186</v>
      </c>
      <c r="D105" s="207" t="s">
        <v>257</v>
      </c>
      <c r="E105" s="207" t="s">
        <v>476</v>
      </c>
      <c r="F105" s="207" t="s">
        <v>308</v>
      </c>
      <c r="G105" s="207">
        <v>1</v>
      </c>
      <c r="H105" s="241"/>
      <c r="I105" s="209"/>
      <c r="J105" s="209"/>
      <c r="K105" s="237" t="s">
        <v>1365</v>
      </c>
      <c r="L105" s="241">
        <v>0.35</v>
      </c>
      <c r="M105" s="209">
        <v>18</v>
      </c>
      <c r="N105" s="18">
        <f t="shared" si="13"/>
        <v>6.3</v>
      </c>
      <c r="O105" s="209"/>
      <c r="P105" s="81">
        <f>(I105+J105)*8*O105</f>
        <v>0</v>
      </c>
      <c r="Q105" s="221">
        <f>N105+P105</f>
        <v>6.3</v>
      </c>
    </row>
    <row r="106" spans="1:17" x14ac:dyDescent="0.2">
      <c r="A106" s="293" t="s">
        <v>417</v>
      </c>
      <c r="B106" s="12" t="s">
        <v>591</v>
      </c>
      <c r="C106" s="1">
        <v>186</v>
      </c>
      <c r="D106" s="1" t="s">
        <v>257</v>
      </c>
      <c r="E106" s="1" t="s">
        <v>476</v>
      </c>
      <c r="F106" s="1" t="s">
        <v>308</v>
      </c>
      <c r="G106" s="1">
        <v>1</v>
      </c>
      <c r="H106" s="251">
        <v>0.62</v>
      </c>
      <c r="I106" s="209">
        <v>10</v>
      </c>
      <c r="J106" s="18"/>
      <c r="K106" s="294" t="s">
        <v>234</v>
      </c>
      <c r="L106" s="251">
        <f>0.86*2</f>
        <v>1.72</v>
      </c>
      <c r="M106" s="209">
        <f>'PRECIOS INSUMOS 2015'!C$5</f>
        <v>2</v>
      </c>
      <c r="N106" s="18">
        <f t="shared" si="13"/>
        <v>3.44</v>
      </c>
      <c r="O106" s="209">
        <f>G106/H106</f>
        <v>1.6129032258064517</v>
      </c>
      <c r="P106" s="81">
        <v>23.529411764705884</v>
      </c>
      <c r="Q106" s="295">
        <v>25.279411764705884</v>
      </c>
    </row>
    <row r="107" spans="1:17" x14ac:dyDescent="0.2">
      <c r="A107" s="205" t="s">
        <v>418</v>
      </c>
      <c r="B107" s="254" t="s">
        <v>491</v>
      </c>
      <c r="C107" s="207">
        <v>188</v>
      </c>
      <c r="D107" s="207" t="s">
        <v>266</v>
      </c>
      <c r="E107" s="207" t="s">
        <v>272</v>
      </c>
      <c r="F107" s="207" t="s">
        <v>308</v>
      </c>
      <c r="G107" s="207">
        <v>1</v>
      </c>
      <c r="H107" s="241">
        <v>0.62</v>
      </c>
      <c r="I107" s="209"/>
      <c r="J107" s="209">
        <v>10</v>
      </c>
      <c r="K107" s="237"/>
      <c r="L107" s="241"/>
      <c r="M107" s="209"/>
      <c r="N107" s="18"/>
      <c r="O107" s="209">
        <f>G107/H107</f>
        <v>1.6129032258064517</v>
      </c>
      <c r="P107" s="81">
        <f>(I107+J107)*8*O107</f>
        <v>129.03225806451613</v>
      </c>
      <c r="Q107" s="221">
        <f>N107+P107</f>
        <v>129.03225806451613</v>
      </c>
    </row>
    <row r="108" spans="1:17" x14ac:dyDescent="0.2">
      <c r="A108" s="205" t="s">
        <v>419</v>
      </c>
      <c r="B108" s="254" t="s">
        <v>273</v>
      </c>
      <c r="C108" s="207">
        <v>188</v>
      </c>
      <c r="D108" s="207" t="s">
        <v>266</v>
      </c>
      <c r="E108" s="207" t="s">
        <v>272</v>
      </c>
      <c r="F108" s="207" t="s">
        <v>308</v>
      </c>
      <c r="G108" s="207">
        <v>1</v>
      </c>
      <c r="H108" s="209">
        <v>0.62</v>
      </c>
      <c r="I108" s="209"/>
      <c r="J108" s="209">
        <v>10</v>
      </c>
      <c r="K108" s="237"/>
      <c r="L108" s="241"/>
      <c r="M108" s="209"/>
      <c r="N108" s="18"/>
      <c r="O108" s="209">
        <f>G108/H108</f>
        <v>1.6129032258064517</v>
      </c>
      <c r="P108" s="81">
        <f>(I108+J108)*8*O108</f>
        <v>129.03225806451613</v>
      </c>
      <c r="Q108" s="221">
        <f>N108+P108</f>
        <v>129.03225806451613</v>
      </c>
    </row>
    <row r="109" spans="1:17" x14ac:dyDescent="0.2">
      <c r="A109" s="205" t="s">
        <v>420</v>
      </c>
      <c r="B109" s="254" t="s">
        <v>263</v>
      </c>
      <c r="C109" s="207">
        <v>193</v>
      </c>
      <c r="D109" s="207" t="s">
        <v>257</v>
      </c>
      <c r="E109" s="207" t="s">
        <v>476</v>
      </c>
      <c r="F109" s="207" t="s">
        <v>308</v>
      </c>
      <c r="G109" s="207">
        <v>1</v>
      </c>
      <c r="H109" s="241"/>
      <c r="I109" s="209"/>
      <c r="J109" s="209"/>
      <c r="K109" s="237" t="s">
        <v>1365</v>
      </c>
      <c r="L109" s="241">
        <v>0.35</v>
      </c>
      <c r="M109" s="209">
        <v>18</v>
      </c>
      <c r="N109" s="18">
        <f t="shared" ref="N109:N117" si="14">L109*M109</f>
        <v>6.3</v>
      </c>
      <c r="O109" s="209"/>
      <c r="P109" s="81">
        <f>(I109+J109)*8*O109</f>
        <v>0</v>
      </c>
      <c r="Q109" s="221">
        <f>N109+P109</f>
        <v>6.3</v>
      </c>
    </row>
    <row r="110" spans="1:17" x14ac:dyDescent="0.2">
      <c r="A110" s="293" t="s">
        <v>420</v>
      </c>
      <c r="B110" s="12" t="s">
        <v>591</v>
      </c>
      <c r="C110" s="1">
        <v>193</v>
      </c>
      <c r="D110" s="1" t="s">
        <v>257</v>
      </c>
      <c r="E110" s="1" t="s">
        <v>476</v>
      </c>
      <c r="F110" s="1" t="s">
        <v>308</v>
      </c>
      <c r="G110" s="1">
        <v>1</v>
      </c>
      <c r="H110" s="251">
        <v>0.62</v>
      </c>
      <c r="I110" s="209">
        <v>10</v>
      </c>
      <c r="J110" s="18"/>
      <c r="K110" s="294" t="s">
        <v>234</v>
      </c>
      <c r="L110" s="251">
        <f>0.86*2</f>
        <v>1.72</v>
      </c>
      <c r="M110" s="209">
        <f>'PRECIOS INSUMOS 2015'!C$5</f>
        <v>2</v>
      </c>
      <c r="N110" s="18">
        <f t="shared" si="14"/>
        <v>3.44</v>
      </c>
      <c r="O110" s="209">
        <f>G110/H110</f>
        <v>1.6129032258064517</v>
      </c>
      <c r="P110" s="81">
        <v>23.529411764705884</v>
      </c>
      <c r="Q110" s="295">
        <v>25.279411764705884</v>
      </c>
    </row>
    <row r="111" spans="1:17" x14ac:dyDescent="0.2">
      <c r="A111" s="205" t="s">
        <v>421</v>
      </c>
      <c r="B111" s="206" t="s">
        <v>527</v>
      </c>
      <c r="C111" s="207">
        <v>195</v>
      </c>
      <c r="D111" s="207" t="s">
        <v>266</v>
      </c>
      <c r="E111" s="207" t="s">
        <v>267</v>
      </c>
      <c r="F111" s="207" t="s">
        <v>308</v>
      </c>
      <c r="G111" s="207">
        <v>1</v>
      </c>
      <c r="H111" s="241">
        <v>0.5</v>
      </c>
      <c r="I111" s="209"/>
      <c r="J111" s="209">
        <v>10</v>
      </c>
      <c r="K111" s="237" t="s">
        <v>511</v>
      </c>
      <c r="L111" s="241">
        <v>2</v>
      </c>
      <c r="M111" s="209">
        <v>9.9700000000000006</v>
      </c>
      <c r="N111" s="18">
        <f t="shared" si="14"/>
        <v>19.940000000000001</v>
      </c>
      <c r="O111" s="209">
        <f>G111/H111</f>
        <v>2</v>
      </c>
      <c r="P111" s="81">
        <f>(I111+J111)*8*O111</f>
        <v>160</v>
      </c>
      <c r="Q111" s="221">
        <f>N111+P111</f>
        <v>179.94</v>
      </c>
    </row>
    <row r="112" spans="1:17" x14ac:dyDescent="0.2">
      <c r="A112" s="205" t="s">
        <v>422</v>
      </c>
      <c r="B112" s="254" t="s">
        <v>263</v>
      </c>
      <c r="C112" s="207">
        <v>200</v>
      </c>
      <c r="D112" s="207" t="s">
        <v>257</v>
      </c>
      <c r="E112" s="207" t="s">
        <v>476</v>
      </c>
      <c r="F112" s="207" t="s">
        <v>308</v>
      </c>
      <c r="G112" s="207">
        <v>1</v>
      </c>
      <c r="H112" s="241"/>
      <c r="I112" s="209"/>
      <c r="J112" s="209"/>
      <c r="K112" s="237" t="s">
        <v>1365</v>
      </c>
      <c r="L112" s="241">
        <v>0.35</v>
      </c>
      <c r="M112" s="209">
        <v>18</v>
      </c>
      <c r="N112" s="18">
        <f t="shared" si="14"/>
        <v>6.3</v>
      </c>
      <c r="O112" s="209"/>
      <c r="P112" s="81">
        <f>(I112+J112)*8*O112</f>
        <v>0</v>
      </c>
      <c r="Q112" s="221">
        <f>N112+P112</f>
        <v>6.3</v>
      </c>
    </row>
    <row r="113" spans="1:17" x14ac:dyDescent="0.2">
      <c r="A113" s="293" t="s">
        <v>422</v>
      </c>
      <c r="B113" s="12" t="s">
        <v>591</v>
      </c>
      <c r="C113" s="1">
        <v>200</v>
      </c>
      <c r="D113" s="1" t="s">
        <v>257</v>
      </c>
      <c r="E113" s="1" t="s">
        <v>476</v>
      </c>
      <c r="F113" s="1" t="s">
        <v>308</v>
      </c>
      <c r="G113" s="1">
        <v>1</v>
      </c>
      <c r="H113" s="251">
        <v>0.62</v>
      </c>
      <c r="I113" s="209">
        <v>10</v>
      </c>
      <c r="J113" s="18"/>
      <c r="K113" s="294" t="s">
        <v>234</v>
      </c>
      <c r="L113" s="251">
        <f>0.86*2</f>
        <v>1.72</v>
      </c>
      <c r="M113" s="209">
        <f>'PRECIOS INSUMOS 2015'!C$5</f>
        <v>2</v>
      </c>
      <c r="N113" s="18">
        <f t="shared" si="14"/>
        <v>3.44</v>
      </c>
      <c r="O113" s="209">
        <f>G113/H113</f>
        <v>1.6129032258064517</v>
      </c>
      <c r="P113" s="81">
        <v>23.529411764705884</v>
      </c>
      <c r="Q113" s="295">
        <v>25.279411764705884</v>
      </c>
    </row>
    <row r="114" spans="1:17" x14ac:dyDescent="0.2">
      <c r="A114" s="205" t="s">
        <v>423</v>
      </c>
      <c r="B114" s="254" t="s">
        <v>263</v>
      </c>
      <c r="C114" s="207">
        <v>207</v>
      </c>
      <c r="D114" s="207" t="s">
        <v>257</v>
      </c>
      <c r="E114" s="207" t="s">
        <v>476</v>
      </c>
      <c r="F114" s="207" t="s">
        <v>308</v>
      </c>
      <c r="G114" s="207">
        <v>1</v>
      </c>
      <c r="H114" s="241"/>
      <c r="I114" s="209"/>
      <c r="J114" s="209"/>
      <c r="K114" s="237" t="s">
        <v>1365</v>
      </c>
      <c r="L114" s="241">
        <v>0.35</v>
      </c>
      <c r="M114" s="209">
        <v>18</v>
      </c>
      <c r="N114" s="18">
        <f t="shared" si="14"/>
        <v>6.3</v>
      </c>
      <c r="O114" s="209"/>
      <c r="P114" s="81">
        <f>(I114+J114)*8*O114</f>
        <v>0</v>
      </c>
      <c r="Q114" s="221">
        <f>N114+P114</f>
        <v>6.3</v>
      </c>
    </row>
    <row r="115" spans="1:17" x14ac:dyDescent="0.2">
      <c r="A115" s="293" t="s">
        <v>423</v>
      </c>
      <c r="B115" s="12" t="s">
        <v>591</v>
      </c>
      <c r="C115" s="1">
        <v>207</v>
      </c>
      <c r="D115" s="1" t="s">
        <v>257</v>
      </c>
      <c r="E115" s="1" t="s">
        <v>476</v>
      </c>
      <c r="F115" s="1" t="s">
        <v>308</v>
      </c>
      <c r="G115" s="1">
        <v>1</v>
      </c>
      <c r="H115" s="251">
        <v>0.62</v>
      </c>
      <c r="I115" s="209">
        <v>10</v>
      </c>
      <c r="J115" s="18"/>
      <c r="K115" s="294" t="s">
        <v>234</v>
      </c>
      <c r="L115" s="251">
        <f>0.86*2</f>
        <v>1.72</v>
      </c>
      <c r="M115" s="209">
        <f>'PRECIOS INSUMOS 2015'!C$5</f>
        <v>2</v>
      </c>
      <c r="N115" s="18">
        <f t="shared" si="14"/>
        <v>3.44</v>
      </c>
      <c r="O115" s="209">
        <f>G115/H115</f>
        <v>1.6129032258064517</v>
      </c>
      <c r="P115" s="81">
        <v>23.529411764705884</v>
      </c>
      <c r="Q115" s="295">
        <v>25.279411764705884</v>
      </c>
    </row>
    <row r="116" spans="1:17" x14ac:dyDescent="0.2">
      <c r="A116" s="205" t="s">
        <v>424</v>
      </c>
      <c r="B116" s="254" t="s">
        <v>263</v>
      </c>
      <c r="C116" s="207">
        <v>214</v>
      </c>
      <c r="D116" s="207" t="s">
        <v>257</v>
      </c>
      <c r="E116" s="207" t="s">
        <v>476</v>
      </c>
      <c r="F116" s="207" t="s">
        <v>308</v>
      </c>
      <c r="G116" s="207">
        <v>1</v>
      </c>
      <c r="H116" s="241"/>
      <c r="I116" s="209"/>
      <c r="J116" s="209"/>
      <c r="K116" s="237" t="s">
        <v>1365</v>
      </c>
      <c r="L116" s="241">
        <v>0.35</v>
      </c>
      <c r="M116" s="209">
        <v>18</v>
      </c>
      <c r="N116" s="18">
        <f t="shared" si="14"/>
        <v>6.3</v>
      </c>
      <c r="O116" s="209"/>
      <c r="P116" s="81">
        <f>(I116+J116)*8*O116</f>
        <v>0</v>
      </c>
      <c r="Q116" s="221">
        <f>N116+P116</f>
        <v>6.3</v>
      </c>
    </row>
    <row r="117" spans="1:17" x14ac:dyDescent="0.2">
      <c r="A117" s="293" t="s">
        <v>424</v>
      </c>
      <c r="B117" s="12" t="s">
        <v>591</v>
      </c>
      <c r="C117" s="1">
        <v>214</v>
      </c>
      <c r="D117" s="1" t="s">
        <v>257</v>
      </c>
      <c r="E117" s="1" t="s">
        <v>476</v>
      </c>
      <c r="F117" s="1" t="s">
        <v>308</v>
      </c>
      <c r="G117" s="1">
        <v>1</v>
      </c>
      <c r="H117" s="251">
        <v>0.62</v>
      </c>
      <c r="I117" s="209">
        <v>10</v>
      </c>
      <c r="J117" s="18"/>
      <c r="K117" s="294" t="s">
        <v>234</v>
      </c>
      <c r="L117" s="251">
        <f>0.86*2</f>
        <v>1.72</v>
      </c>
      <c r="M117" s="209">
        <f>'PRECIOS INSUMOS 2015'!C$5</f>
        <v>2</v>
      </c>
      <c r="N117" s="18">
        <f t="shared" si="14"/>
        <v>3.44</v>
      </c>
      <c r="O117" s="209">
        <f>G117/H117</f>
        <v>1.6129032258064517</v>
      </c>
      <c r="P117" s="81">
        <v>23.529411764705884</v>
      </c>
      <c r="Q117" s="295">
        <v>25.279411764705884</v>
      </c>
    </row>
    <row r="118" spans="1:17" x14ac:dyDescent="0.2">
      <c r="A118" s="205" t="s">
        <v>425</v>
      </c>
      <c r="B118" s="254" t="s">
        <v>491</v>
      </c>
      <c r="C118" s="207">
        <v>216</v>
      </c>
      <c r="D118" s="207" t="s">
        <v>266</v>
      </c>
      <c r="E118" s="207" t="s">
        <v>272</v>
      </c>
      <c r="F118" s="207" t="s">
        <v>308</v>
      </c>
      <c r="G118" s="207">
        <v>1</v>
      </c>
      <c r="H118" s="241">
        <v>0.62</v>
      </c>
      <c r="I118" s="209"/>
      <c r="J118" s="209">
        <v>10</v>
      </c>
      <c r="K118" s="237"/>
      <c r="L118" s="241"/>
      <c r="M118" s="209"/>
      <c r="N118" s="18"/>
      <c r="O118" s="209">
        <f>G118/H118</f>
        <v>1.6129032258064517</v>
      </c>
      <c r="P118" s="81">
        <f>(I118+J118)*8*O118</f>
        <v>129.03225806451613</v>
      </c>
      <c r="Q118" s="221">
        <f>N118+P118</f>
        <v>129.03225806451613</v>
      </c>
    </row>
    <row r="119" spans="1:17" x14ac:dyDescent="0.2">
      <c r="A119" s="205" t="s">
        <v>426</v>
      </c>
      <c r="B119" s="254" t="s">
        <v>273</v>
      </c>
      <c r="C119" s="207">
        <v>216</v>
      </c>
      <c r="D119" s="207" t="s">
        <v>266</v>
      </c>
      <c r="E119" s="207" t="s">
        <v>272</v>
      </c>
      <c r="F119" s="207" t="s">
        <v>308</v>
      </c>
      <c r="G119" s="207">
        <v>1</v>
      </c>
      <c r="H119" s="209">
        <v>0.62</v>
      </c>
      <c r="I119" s="209"/>
      <c r="J119" s="209">
        <v>10</v>
      </c>
      <c r="K119" s="237"/>
      <c r="L119" s="241"/>
      <c r="M119" s="209"/>
      <c r="N119" s="18"/>
      <c r="O119" s="209">
        <f>G119/H119</f>
        <v>1.6129032258064517</v>
      </c>
      <c r="P119" s="81">
        <f>(I119+J119)*8*O119</f>
        <v>129.03225806451613</v>
      </c>
      <c r="Q119" s="221">
        <f>N119+P119</f>
        <v>129.03225806451613</v>
      </c>
    </row>
    <row r="120" spans="1:17" x14ac:dyDescent="0.2">
      <c r="A120" s="205" t="s">
        <v>427</v>
      </c>
      <c r="B120" s="254" t="s">
        <v>263</v>
      </c>
      <c r="C120" s="207">
        <v>221</v>
      </c>
      <c r="D120" s="207" t="s">
        <v>257</v>
      </c>
      <c r="E120" s="207" t="s">
        <v>476</v>
      </c>
      <c r="F120" s="207" t="s">
        <v>308</v>
      </c>
      <c r="G120" s="207">
        <v>1</v>
      </c>
      <c r="H120" s="241"/>
      <c r="I120" s="209"/>
      <c r="J120" s="209"/>
      <c r="K120" s="237" t="s">
        <v>1365</v>
      </c>
      <c r="L120" s="241">
        <v>0.35</v>
      </c>
      <c r="M120" s="209">
        <v>18</v>
      </c>
      <c r="N120" s="18">
        <f t="shared" ref="N120:N137" si="15">L120*M120</f>
        <v>6.3</v>
      </c>
      <c r="O120" s="209"/>
      <c r="P120" s="81">
        <f>(I120+J120)*8*O120</f>
        <v>0</v>
      </c>
      <c r="Q120" s="221">
        <f>N120+P120</f>
        <v>6.3</v>
      </c>
    </row>
    <row r="121" spans="1:17" x14ac:dyDescent="0.2">
      <c r="A121" s="293" t="s">
        <v>427</v>
      </c>
      <c r="B121" s="12" t="s">
        <v>591</v>
      </c>
      <c r="C121" s="1">
        <v>221</v>
      </c>
      <c r="D121" s="1" t="s">
        <v>257</v>
      </c>
      <c r="E121" s="1" t="s">
        <v>476</v>
      </c>
      <c r="F121" s="1" t="s">
        <v>308</v>
      </c>
      <c r="G121" s="1">
        <v>1</v>
      </c>
      <c r="H121" s="251">
        <v>0.62</v>
      </c>
      <c r="I121" s="209">
        <v>10</v>
      </c>
      <c r="J121" s="18"/>
      <c r="K121" s="294" t="s">
        <v>234</v>
      </c>
      <c r="L121" s="251">
        <f>0.86*2</f>
        <v>1.72</v>
      </c>
      <c r="M121" s="209">
        <f>'PRECIOS INSUMOS 2015'!C$5</f>
        <v>2</v>
      </c>
      <c r="N121" s="18">
        <f t="shared" si="15"/>
        <v>3.44</v>
      </c>
      <c r="O121" s="209">
        <f>G121/H121</f>
        <v>1.6129032258064517</v>
      </c>
      <c r="P121" s="81">
        <v>23.529411764705884</v>
      </c>
      <c r="Q121" s="295">
        <v>25.279411764705884</v>
      </c>
    </row>
    <row r="122" spans="1:17" x14ac:dyDescent="0.2">
      <c r="A122" s="205" t="s">
        <v>428</v>
      </c>
      <c r="B122" s="254" t="s">
        <v>263</v>
      </c>
      <c r="C122" s="207">
        <v>228</v>
      </c>
      <c r="D122" s="207" t="s">
        <v>257</v>
      </c>
      <c r="E122" s="207" t="s">
        <v>476</v>
      </c>
      <c r="F122" s="207" t="s">
        <v>308</v>
      </c>
      <c r="G122" s="207">
        <v>1</v>
      </c>
      <c r="H122" s="241"/>
      <c r="I122" s="209"/>
      <c r="J122" s="209"/>
      <c r="K122" s="237" t="s">
        <v>1365</v>
      </c>
      <c r="L122" s="241">
        <v>0.35</v>
      </c>
      <c r="M122" s="209">
        <v>18</v>
      </c>
      <c r="N122" s="18">
        <f t="shared" si="15"/>
        <v>6.3</v>
      </c>
      <c r="O122" s="209"/>
      <c r="P122" s="81">
        <f>(I122+J122)*8*O122</f>
        <v>0</v>
      </c>
      <c r="Q122" s="221">
        <f>N122+P122</f>
        <v>6.3</v>
      </c>
    </row>
    <row r="123" spans="1:17" x14ac:dyDescent="0.2">
      <c r="A123" s="293" t="s">
        <v>428</v>
      </c>
      <c r="B123" s="12" t="s">
        <v>591</v>
      </c>
      <c r="C123" s="1">
        <v>228</v>
      </c>
      <c r="D123" s="1" t="s">
        <v>257</v>
      </c>
      <c r="E123" s="1" t="s">
        <v>476</v>
      </c>
      <c r="F123" s="1" t="s">
        <v>308</v>
      </c>
      <c r="G123" s="1">
        <v>1</v>
      </c>
      <c r="H123" s="251">
        <v>0.62</v>
      </c>
      <c r="I123" s="209">
        <v>10</v>
      </c>
      <c r="J123" s="18"/>
      <c r="K123" s="294" t="s">
        <v>234</v>
      </c>
      <c r="L123" s="251">
        <f>0.86*2</f>
        <v>1.72</v>
      </c>
      <c r="M123" s="209">
        <f>'PRECIOS INSUMOS 2015'!C$5</f>
        <v>2</v>
      </c>
      <c r="N123" s="18">
        <f t="shared" si="15"/>
        <v>3.44</v>
      </c>
      <c r="O123" s="209">
        <f>G123/H123</f>
        <v>1.6129032258064517</v>
      </c>
      <c r="P123" s="81">
        <v>23.529411764705884</v>
      </c>
      <c r="Q123" s="295">
        <v>25.279411764705884</v>
      </c>
    </row>
    <row r="124" spans="1:17" x14ac:dyDescent="0.2">
      <c r="A124" s="205" t="s">
        <v>429</v>
      </c>
      <c r="B124" s="206" t="s">
        <v>526</v>
      </c>
      <c r="C124" s="207">
        <v>230</v>
      </c>
      <c r="D124" s="207" t="s">
        <v>266</v>
      </c>
      <c r="E124" s="207" t="s">
        <v>267</v>
      </c>
      <c r="F124" s="207" t="s">
        <v>308</v>
      </c>
      <c r="G124" s="207">
        <v>1</v>
      </c>
      <c r="H124" s="241">
        <v>0.5</v>
      </c>
      <c r="I124" s="209"/>
      <c r="J124" s="209">
        <v>10</v>
      </c>
      <c r="K124" s="237" t="s">
        <v>510</v>
      </c>
      <c r="L124" s="241">
        <v>2</v>
      </c>
      <c r="M124" s="209">
        <v>8.34</v>
      </c>
      <c r="N124" s="251">
        <f t="shared" si="15"/>
        <v>16.68</v>
      </c>
      <c r="O124" s="209">
        <f>G124/H124</f>
        <v>2</v>
      </c>
      <c r="P124" s="81">
        <f>(I124+J124)*8*O124</f>
        <v>160</v>
      </c>
      <c r="Q124" s="221">
        <f>N124+P124</f>
        <v>176.68</v>
      </c>
    </row>
    <row r="125" spans="1:17" x14ac:dyDescent="0.2">
      <c r="A125" s="205" t="s">
        <v>430</v>
      </c>
      <c r="B125" s="254" t="s">
        <v>263</v>
      </c>
      <c r="C125" s="207">
        <v>235</v>
      </c>
      <c r="D125" s="207" t="s">
        <v>257</v>
      </c>
      <c r="E125" s="207" t="s">
        <v>476</v>
      </c>
      <c r="F125" s="207" t="s">
        <v>308</v>
      </c>
      <c r="G125" s="207">
        <v>1</v>
      </c>
      <c r="H125" s="241"/>
      <c r="I125" s="209"/>
      <c r="J125" s="209"/>
      <c r="K125" s="237" t="s">
        <v>1365</v>
      </c>
      <c r="L125" s="241">
        <v>0.35</v>
      </c>
      <c r="M125" s="209">
        <v>18</v>
      </c>
      <c r="N125" s="18">
        <f t="shared" si="15"/>
        <v>6.3</v>
      </c>
      <c r="O125" s="209"/>
      <c r="P125" s="81">
        <f>(I125+J125)*8*O125</f>
        <v>0</v>
      </c>
      <c r="Q125" s="221">
        <f>N125+P125</f>
        <v>6.3</v>
      </c>
    </row>
    <row r="126" spans="1:17" x14ac:dyDescent="0.2">
      <c r="A126" s="311" t="s">
        <v>430</v>
      </c>
      <c r="B126" s="312" t="s">
        <v>591</v>
      </c>
      <c r="C126" s="313">
        <v>235</v>
      </c>
      <c r="D126" s="313" t="s">
        <v>257</v>
      </c>
      <c r="E126" s="313" t="s">
        <v>476</v>
      </c>
      <c r="F126" s="313" t="s">
        <v>308</v>
      </c>
      <c r="G126" s="313">
        <v>1</v>
      </c>
      <c r="H126" s="314">
        <v>0.62</v>
      </c>
      <c r="I126" s="209">
        <v>10</v>
      </c>
      <c r="J126" s="104"/>
      <c r="K126" s="315" t="s">
        <v>234</v>
      </c>
      <c r="L126" s="314">
        <f>0.86*2</f>
        <v>1.72</v>
      </c>
      <c r="M126" s="209">
        <f>'PRECIOS INSUMOS 2015'!C$5</f>
        <v>2</v>
      </c>
      <c r="N126" s="104">
        <f t="shared" si="15"/>
        <v>3.44</v>
      </c>
      <c r="O126" s="219">
        <f>G126/H126</f>
        <v>1.6129032258064517</v>
      </c>
      <c r="P126" s="299">
        <v>23.529411764705884</v>
      </c>
      <c r="Q126" s="316">
        <v>25.279411764705884</v>
      </c>
    </row>
    <row r="127" spans="1:17" x14ac:dyDescent="0.2">
      <c r="A127" s="302" t="s">
        <v>433</v>
      </c>
      <c r="B127" s="303" t="s">
        <v>263</v>
      </c>
      <c r="C127" s="304">
        <v>242</v>
      </c>
      <c r="D127" s="304" t="s">
        <v>257</v>
      </c>
      <c r="E127" s="304" t="s">
        <v>476</v>
      </c>
      <c r="F127" s="304" t="s">
        <v>308</v>
      </c>
      <c r="G127" s="304">
        <v>1</v>
      </c>
      <c r="H127" s="305"/>
      <c r="I127" s="306"/>
      <c r="J127" s="306"/>
      <c r="K127" s="237" t="s">
        <v>1365</v>
      </c>
      <c r="L127" s="305">
        <v>0.35</v>
      </c>
      <c r="M127" s="209">
        <v>18</v>
      </c>
      <c r="N127" s="57">
        <f t="shared" si="15"/>
        <v>6.3</v>
      </c>
      <c r="O127" s="306"/>
      <c r="P127" s="308">
        <f>(I127+J127)*8*O127</f>
        <v>0</v>
      </c>
      <c r="Q127" s="309">
        <f>N127+P127</f>
        <v>6.3</v>
      </c>
    </row>
    <row r="128" spans="1:17" x14ac:dyDescent="0.2">
      <c r="A128" s="293" t="s">
        <v>433</v>
      </c>
      <c r="B128" s="12" t="s">
        <v>591</v>
      </c>
      <c r="C128" s="1">
        <v>242</v>
      </c>
      <c r="D128" s="1" t="s">
        <v>257</v>
      </c>
      <c r="E128" s="1" t="s">
        <v>476</v>
      </c>
      <c r="F128" s="1" t="s">
        <v>308</v>
      </c>
      <c r="G128" s="1">
        <v>1</v>
      </c>
      <c r="H128" s="251">
        <v>0.62</v>
      </c>
      <c r="I128" s="209">
        <v>10</v>
      </c>
      <c r="J128" s="18"/>
      <c r="K128" s="294" t="s">
        <v>234</v>
      </c>
      <c r="L128" s="251">
        <f>0.86*2</f>
        <v>1.72</v>
      </c>
      <c r="M128" s="209">
        <f>'PRECIOS INSUMOS 2015'!C$5</f>
        <v>2</v>
      </c>
      <c r="N128" s="18">
        <f t="shared" si="15"/>
        <v>3.44</v>
      </c>
      <c r="O128" s="209">
        <f>G128/H128</f>
        <v>1.6129032258064517</v>
      </c>
      <c r="P128" s="81">
        <v>23.529411764705884</v>
      </c>
      <c r="Q128" s="295">
        <v>25.279411764705884</v>
      </c>
    </row>
    <row r="129" spans="1:17" x14ac:dyDescent="0.2">
      <c r="A129" s="205" t="s">
        <v>434</v>
      </c>
      <c r="B129" s="254" t="s">
        <v>263</v>
      </c>
      <c r="C129" s="207">
        <v>249</v>
      </c>
      <c r="D129" s="207" t="s">
        <v>257</v>
      </c>
      <c r="E129" s="207" t="s">
        <v>476</v>
      </c>
      <c r="F129" s="207" t="s">
        <v>308</v>
      </c>
      <c r="G129" s="207">
        <v>1</v>
      </c>
      <c r="H129" s="241"/>
      <c r="I129" s="209"/>
      <c r="J129" s="209"/>
      <c r="K129" s="237" t="s">
        <v>1365</v>
      </c>
      <c r="L129" s="241">
        <v>0.35</v>
      </c>
      <c r="M129" s="209">
        <v>18</v>
      </c>
      <c r="N129" s="18">
        <f t="shared" si="15"/>
        <v>6.3</v>
      </c>
      <c r="O129" s="209"/>
      <c r="P129" s="81">
        <f>(I129+J129)*8*O129</f>
        <v>0</v>
      </c>
      <c r="Q129" s="221">
        <f>N129+P129</f>
        <v>6.3</v>
      </c>
    </row>
    <row r="130" spans="1:17" x14ac:dyDescent="0.2">
      <c r="A130" s="293" t="s">
        <v>434</v>
      </c>
      <c r="B130" s="12" t="s">
        <v>591</v>
      </c>
      <c r="C130" s="1">
        <v>249</v>
      </c>
      <c r="D130" s="1" t="s">
        <v>257</v>
      </c>
      <c r="E130" s="1" t="s">
        <v>476</v>
      </c>
      <c r="F130" s="1" t="s">
        <v>308</v>
      </c>
      <c r="G130" s="1">
        <v>1</v>
      </c>
      <c r="H130" s="251">
        <v>0.62</v>
      </c>
      <c r="I130" s="209">
        <v>10</v>
      </c>
      <c r="J130" s="18"/>
      <c r="K130" s="294" t="s">
        <v>234</v>
      </c>
      <c r="L130" s="251">
        <f>0.86*2</f>
        <v>1.72</v>
      </c>
      <c r="M130" s="209">
        <f>'PRECIOS INSUMOS 2015'!C$5</f>
        <v>2</v>
      </c>
      <c r="N130" s="18">
        <f t="shared" si="15"/>
        <v>3.44</v>
      </c>
      <c r="O130" s="209">
        <f>G130/H130</f>
        <v>1.6129032258064517</v>
      </c>
      <c r="P130" s="81">
        <v>23.529411764705884</v>
      </c>
      <c r="Q130" s="295">
        <v>25.279411764705884</v>
      </c>
    </row>
    <row r="131" spans="1:17" x14ac:dyDescent="0.2">
      <c r="A131" s="205" t="s">
        <v>435</v>
      </c>
      <c r="B131" s="254" t="s">
        <v>263</v>
      </c>
      <c r="C131" s="207">
        <v>256</v>
      </c>
      <c r="D131" s="207" t="s">
        <v>257</v>
      </c>
      <c r="E131" s="207" t="s">
        <v>476</v>
      </c>
      <c r="F131" s="207" t="s">
        <v>308</v>
      </c>
      <c r="G131" s="207">
        <v>1</v>
      </c>
      <c r="H131" s="241"/>
      <c r="I131" s="209"/>
      <c r="J131" s="209"/>
      <c r="K131" s="237" t="s">
        <v>1365</v>
      </c>
      <c r="L131" s="241">
        <v>0.35</v>
      </c>
      <c r="M131" s="209">
        <v>18</v>
      </c>
      <c r="N131" s="18">
        <f t="shared" si="15"/>
        <v>6.3</v>
      </c>
      <c r="O131" s="209"/>
      <c r="P131" s="81">
        <f>(I131+J131)*8*O131</f>
        <v>0</v>
      </c>
      <c r="Q131" s="221">
        <f>N131+P131</f>
        <v>6.3</v>
      </c>
    </row>
    <row r="132" spans="1:17" x14ac:dyDescent="0.2">
      <c r="A132" s="293" t="s">
        <v>435</v>
      </c>
      <c r="B132" s="12" t="s">
        <v>591</v>
      </c>
      <c r="C132" s="1">
        <v>256</v>
      </c>
      <c r="D132" s="1" t="s">
        <v>257</v>
      </c>
      <c r="E132" s="1" t="s">
        <v>476</v>
      </c>
      <c r="F132" s="1" t="s">
        <v>308</v>
      </c>
      <c r="G132" s="1">
        <v>1</v>
      </c>
      <c r="H132" s="251">
        <v>0.62</v>
      </c>
      <c r="I132" s="209">
        <v>10</v>
      </c>
      <c r="J132" s="18"/>
      <c r="K132" s="294" t="s">
        <v>234</v>
      </c>
      <c r="L132" s="251">
        <f>0.86*2</f>
        <v>1.72</v>
      </c>
      <c r="M132" s="209">
        <f>'PRECIOS INSUMOS 2015'!C$5</f>
        <v>2</v>
      </c>
      <c r="N132" s="18">
        <f t="shared" si="15"/>
        <v>3.44</v>
      </c>
      <c r="O132" s="209">
        <f>G132/H132</f>
        <v>1.6129032258064517</v>
      </c>
      <c r="P132" s="81">
        <v>23.529411764705884</v>
      </c>
      <c r="Q132" s="295">
        <v>25.279411764705884</v>
      </c>
    </row>
    <row r="133" spans="1:17" x14ac:dyDescent="0.2">
      <c r="A133" s="205" t="s">
        <v>529</v>
      </c>
      <c r="B133" s="254" t="s">
        <v>263</v>
      </c>
      <c r="C133" s="207">
        <v>263</v>
      </c>
      <c r="D133" s="207" t="s">
        <v>257</v>
      </c>
      <c r="E133" s="207" t="s">
        <v>476</v>
      </c>
      <c r="F133" s="207" t="s">
        <v>308</v>
      </c>
      <c r="G133" s="207">
        <v>1</v>
      </c>
      <c r="H133" s="241"/>
      <c r="I133" s="209"/>
      <c r="J133" s="209"/>
      <c r="K133" s="237" t="s">
        <v>1365</v>
      </c>
      <c r="L133" s="241">
        <v>0.35</v>
      </c>
      <c r="M133" s="209">
        <v>18</v>
      </c>
      <c r="N133" s="18">
        <f t="shared" si="15"/>
        <v>6.3</v>
      </c>
      <c r="O133" s="209"/>
      <c r="P133" s="81">
        <f>(I133+J133)*8*O133</f>
        <v>0</v>
      </c>
      <c r="Q133" s="221">
        <f>N133+P133</f>
        <v>6.3</v>
      </c>
    </row>
    <row r="134" spans="1:17" x14ac:dyDescent="0.2">
      <c r="A134" s="293" t="s">
        <v>529</v>
      </c>
      <c r="B134" s="12" t="s">
        <v>591</v>
      </c>
      <c r="C134" s="1">
        <v>263</v>
      </c>
      <c r="D134" s="1" t="s">
        <v>257</v>
      </c>
      <c r="E134" s="1" t="s">
        <v>476</v>
      </c>
      <c r="F134" s="1" t="s">
        <v>308</v>
      </c>
      <c r="G134" s="1">
        <v>1</v>
      </c>
      <c r="H134" s="251">
        <v>0.62</v>
      </c>
      <c r="I134" s="209">
        <v>10</v>
      </c>
      <c r="J134" s="18"/>
      <c r="K134" s="294" t="s">
        <v>234</v>
      </c>
      <c r="L134" s="251">
        <f>0.86*2</f>
        <v>1.72</v>
      </c>
      <c r="M134" s="209">
        <f>'PRECIOS INSUMOS 2015'!C$5</f>
        <v>2</v>
      </c>
      <c r="N134" s="18">
        <f t="shared" si="15"/>
        <v>3.44</v>
      </c>
      <c r="O134" s="209">
        <f>G134/H134</f>
        <v>1.6129032258064517</v>
      </c>
      <c r="P134" s="81">
        <v>23.529411764705884</v>
      </c>
      <c r="Q134" s="295">
        <v>25.279411764705884</v>
      </c>
    </row>
    <row r="135" spans="1:17" s="317" customFormat="1" x14ac:dyDescent="0.2">
      <c r="A135" s="205" t="s">
        <v>530</v>
      </c>
      <c r="B135" s="206" t="s">
        <v>526</v>
      </c>
      <c r="C135" s="207">
        <v>265</v>
      </c>
      <c r="D135" s="207" t="s">
        <v>266</v>
      </c>
      <c r="E135" s="207" t="s">
        <v>267</v>
      </c>
      <c r="F135" s="207" t="s">
        <v>308</v>
      </c>
      <c r="G135" s="207">
        <v>1</v>
      </c>
      <c r="H135" s="241">
        <v>0.5</v>
      </c>
      <c r="I135" s="209"/>
      <c r="J135" s="209">
        <v>10</v>
      </c>
      <c r="K135" s="237" t="s">
        <v>510</v>
      </c>
      <c r="L135" s="241">
        <v>2</v>
      </c>
      <c r="M135" s="209">
        <v>8.34</v>
      </c>
      <c r="N135" s="251">
        <f t="shared" si="15"/>
        <v>16.68</v>
      </c>
      <c r="O135" s="209">
        <f>G135/H135</f>
        <v>2</v>
      </c>
      <c r="P135" s="81">
        <f>(I135+J135)*8*O135</f>
        <v>160</v>
      </c>
      <c r="Q135" s="221">
        <f>N135+P135</f>
        <v>176.68</v>
      </c>
    </row>
    <row r="136" spans="1:17" s="317" customFormat="1" x14ac:dyDescent="0.2">
      <c r="A136" s="205" t="s">
        <v>531</v>
      </c>
      <c r="B136" s="254" t="s">
        <v>263</v>
      </c>
      <c r="C136" s="207">
        <v>270</v>
      </c>
      <c r="D136" s="207" t="s">
        <v>257</v>
      </c>
      <c r="E136" s="207" t="s">
        <v>476</v>
      </c>
      <c r="F136" s="207" t="s">
        <v>308</v>
      </c>
      <c r="G136" s="207">
        <v>1</v>
      </c>
      <c r="H136" s="241"/>
      <c r="I136" s="209"/>
      <c r="J136" s="209"/>
      <c r="K136" s="237" t="s">
        <v>1365</v>
      </c>
      <c r="L136" s="241">
        <v>0.35</v>
      </c>
      <c r="M136" s="209">
        <v>18</v>
      </c>
      <c r="N136" s="18">
        <f t="shared" si="15"/>
        <v>6.3</v>
      </c>
      <c r="O136" s="209"/>
      <c r="P136" s="81">
        <f>(I136+J136)*8*O136</f>
        <v>0</v>
      </c>
      <c r="Q136" s="221">
        <f>N136+P136</f>
        <v>6.3</v>
      </c>
    </row>
    <row r="137" spans="1:17" s="317" customFormat="1" x14ac:dyDescent="0.2">
      <c r="A137" s="293" t="s">
        <v>531</v>
      </c>
      <c r="B137" s="12" t="s">
        <v>591</v>
      </c>
      <c r="C137" s="1">
        <v>270</v>
      </c>
      <c r="D137" s="1" t="s">
        <v>257</v>
      </c>
      <c r="E137" s="1" t="s">
        <v>476</v>
      </c>
      <c r="F137" s="1" t="s">
        <v>308</v>
      </c>
      <c r="G137" s="1">
        <v>1</v>
      </c>
      <c r="H137" s="251">
        <v>0.62</v>
      </c>
      <c r="I137" s="209">
        <v>10</v>
      </c>
      <c r="J137" s="18"/>
      <c r="K137" s="294" t="s">
        <v>234</v>
      </c>
      <c r="L137" s="251">
        <f>0.86*2</f>
        <v>1.72</v>
      </c>
      <c r="M137" s="209">
        <f>'PRECIOS INSUMOS 2015'!C$5</f>
        <v>2</v>
      </c>
      <c r="N137" s="18">
        <f t="shared" si="15"/>
        <v>3.44</v>
      </c>
      <c r="O137" s="209">
        <f>G137/H137</f>
        <v>1.6129032258064517</v>
      </c>
      <c r="P137" s="81">
        <v>23.529411764705884</v>
      </c>
      <c r="Q137" s="295">
        <v>25.279411764705884</v>
      </c>
    </row>
    <row r="138" spans="1:17" s="317" customFormat="1" x14ac:dyDescent="0.2">
      <c r="A138" s="205" t="s">
        <v>532</v>
      </c>
      <c r="B138" s="254" t="s">
        <v>491</v>
      </c>
      <c r="C138" s="207">
        <v>272</v>
      </c>
      <c r="D138" s="207" t="s">
        <v>266</v>
      </c>
      <c r="E138" s="207" t="s">
        <v>272</v>
      </c>
      <c r="F138" s="207" t="s">
        <v>308</v>
      </c>
      <c r="G138" s="207">
        <v>1</v>
      </c>
      <c r="H138" s="241">
        <v>0.62</v>
      </c>
      <c r="I138" s="209"/>
      <c r="J138" s="209">
        <v>10</v>
      </c>
      <c r="K138" s="237"/>
      <c r="L138" s="241"/>
      <c r="M138" s="209"/>
      <c r="N138" s="18"/>
      <c r="O138" s="209">
        <f>G138/H138</f>
        <v>1.6129032258064517</v>
      </c>
      <c r="P138" s="81">
        <f>(I138+J138)*8*O138</f>
        <v>129.03225806451613</v>
      </c>
      <c r="Q138" s="221">
        <f>N138+P138</f>
        <v>129.03225806451613</v>
      </c>
    </row>
    <row r="139" spans="1:17" s="317" customFormat="1" x14ac:dyDescent="0.2">
      <c r="A139" s="205" t="s">
        <v>516</v>
      </c>
      <c r="B139" s="254" t="s">
        <v>273</v>
      </c>
      <c r="C139" s="207">
        <v>272</v>
      </c>
      <c r="D139" s="207" t="s">
        <v>266</v>
      </c>
      <c r="E139" s="207" t="s">
        <v>272</v>
      </c>
      <c r="F139" s="207" t="s">
        <v>308</v>
      </c>
      <c r="G139" s="207">
        <v>1</v>
      </c>
      <c r="H139" s="209">
        <v>0.62</v>
      </c>
      <c r="I139" s="209"/>
      <c r="J139" s="209">
        <v>10</v>
      </c>
      <c r="K139" s="237"/>
      <c r="L139" s="241"/>
      <c r="M139" s="209"/>
      <c r="N139" s="18"/>
      <c r="O139" s="209">
        <f>G139/H139</f>
        <v>1.6129032258064517</v>
      </c>
      <c r="P139" s="81">
        <f>(I139+J139)*8*O139</f>
        <v>129.03225806451613</v>
      </c>
      <c r="Q139" s="221">
        <f>N139+P139</f>
        <v>129.03225806451613</v>
      </c>
    </row>
    <row r="140" spans="1:17" s="317" customFormat="1" x14ac:dyDescent="0.2">
      <c r="A140" s="205" t="s">
        <v>533</v>
      </c>
      <c r="B140" s="254" t="s">
        <v>263</v>
      </c>
      <c r="C140" s="207">
        <v>277</v>
      </c>
      <c r="D140" s="207" t="s">
        <v>257</v>
      </c>
      <c r="E140" s="207" t="s">
        <v>476</v>
      </c>
      <c r="F140" s="207" t="s">
        <v>308</v>
      </c>
      <c r="G140" s="207">
        <v>1</v>
      </c>
      <c r="H140" s="241"/>
      <c r="I140" s="209"/>
      <c r="J140" s="209"/>
      <c r="K140" s="237" t="s">
        <v>1365</v>
      </c>
      <c r="L140" s="241">
        <v>0.35</v>
      </c>
      <c r="M140" s="209">
        <v>18</v>
      </c>
      <c r="N140" s="18">
        <f t="shared" ref="N140:N148" si="16">L140*M140</f>
        <v>6.3</v>
      </c>
      <c r="O140" s="209"/>
      <c r="P140" s="81">
        <f>(I140+J140)*8*O140</f>
        <v>0</v>
      </c>
      <c r="Q140" s="221">
        <f>N140+P140</f>
        <v>6.3</v>
      </c>
    </row>
    <row r="141" spans="1:17" s="317" customFormat="1" x14ac:dyDescent="0.2">
      <c r="A141" s="293" t="s">
        <v>533</v>
      </c>
      <c r="B141" s="12" t="s">
        <v>591</v>
      </c>
      <c r="C141" s="1">
        <v>277</v>
      </c>
      <c r="D141" s="1" t="s">
        <v>257</v>
      </c>
      <c r="E141" s="1" t="s">
        <v>476</v>
      </c>
      <c r="F141" s="1" t="s">
        <v>308</v>
      </c>
      <c r="G141" s="1">
        <v>1</v>
      </c>
      <c r="H141" s="251">
        <v>0.62</v>
      </c>
      <c r="I141" s="209">
        <v>10</v>
      </c>
      <c r="J141" s="18"/>
      <c r="K141" s="294" t="s">
        <v>234</v>
      </c>
      <c r="L141" s="251">
        <f>0.86*2</f>
        <v>1.72</v>
      </c>
      <c r="M141" s="209">
        <f>'PRECIOS INSUMOS 2015'!C$5</f>
        <v>2</v>
      </c>
      <c r="N141" s="18">
        <f t="shared" si="16"/>
        <v>3.44</v>
      </c>
      <c r="O141" s="209">
        <f>G141/H141</f>
        <v>1.6129032258064517</v>
      </c>
      <c r="P141" s="81">
        <v>23.529411764705884</v>
      </c>
      <c r="Q141" s="295">
        <v>25.279411764705884</v>
      </c>
    </row>
    <row r="142" spans="1:17" s="317" customFormat="1" x14ac:dyDescent="0.2">
      <c r="A142" s="205" t="s">
        <v>497</v>
      </c>
      <c r="B142" s="254" t="s">
        <v>263</v>
      </c>
      <c r="C142" s="207">
        <v>285</v>
      </c>
      <c r="D142" s="207" t="s">
        <v>257</v>
      </c>
      <c r="E142" s="207" t="s">
        <v>476</v>
      </c>
      <c r="F142" s="207" t="s">
        <v>308</v>
      </c>
      <c r="G142" s="207">
        <v>1</v>
      </c>
      <c r="H142" s="241"/>
      <c r="I142" s="209"/>
      <c r="J142" s="209"/>
      <c r="K142" s="237" t="s">
        <v>1365</v>
      </c>
      <c r="L142" s="241">
        <v>0.35</v>
      </c>
      <c r="M142" s="209">
        <v>18</v>
      </c>
      <c r="N142" s="18">
        <f t="shared" si="16"/>
        <v>6.3</v>
      </c>
      <c r="O142" s="209"/>
      <c r="P142" s="81">
        <f>(I142+J142)*8*O142</f>
        <v>0</v>
      </c>
      <c r="Q142" s="221">
        <f>N142+P142</f>
        <v>6.3</v>
      </c>
    </row>
    <row r="143" spans="1:17" s="317" customFormat="1" x14ac:dyDescent="0.2">
      <c r="A143" s="293" t="s">
        <v>497</v>
      </c>
      <c r="B143" s="12" t="s">
        <v>591</v>
      </c>
      <c r="C143" s="1">
        <v>285</v>
      </c>
      <c r="D143" s="1" t="s">
        <v>257</v>
      </c>
      <c r="E143" s="1" t="s">
        <v>476</v>
      </c>
      <c r="F143" s="1" t="s">
        <v>308</v>
      </c>
      <c r="G143" s="1">
        <v>1</v>
      </c>
      <c r="H143" s="251">
        <v>0.62</v>
      </c>
      <c r="I143" s="209">
        <v>10</v>
      </c>
      <c r="J143" s="18"/>
      <c r="K143" s="294" t="s">
        <v>234</v>
      </c>
      <c r="L143" s="251">
        <f>0.86*2</f>
        <v>1.72</v>
      </c>
      <c r="M143" s="209">
        <f>'PRECIOS INSUMOS 2015'!C$5</f>
        <v>2</v>
      </c>
      <c r="N143" s="18">
        <f t="shared" si="16"/>
        <v>3.44</v>
      </c>
      <c r="O143" s="209">
        <f>G143/H143</f>
        <v>1.6129032258064517</v>
      </c>
      <c r="P143" s="81">
        <v>23.529411764705884</v>
      </c>
      <c r="Q143" s="295">
        <v>25.279411764705884</v>
      </c>
    </row>
    <row r="144" spans="1:17" s="317" customFormat="1" x14ac:dyDescent="0.2">
      <c r="A144" s="205" t="s">
        <v>517</v>
      </c>
      <c r="B144" s="254" t="s">
        <v>263</v>
      </c>
      <c r="C144" s="207">
        <v>292</v>
      </c>
      <c r="D144" s="207" t="s">
        <v>257</v>
      </c>
      <c r="E144" s="207" t="s">
        <v>476</v>
      </c>
      <c r="F144" s="207" t="s">
        <v>308</v>
      </c>
      <c r="G144" s="207">
        <v>1</v>
      </c>
      <c r="H144" s="241"/>
      <c r="I144" s="209"/>
      <c r="J144" s="209"/>
      <c r="K144" s="237" t="s">
        <v>1365</v>
      </c>
      <c r="L144" s="241">
        <v>0.35</v>
      </c>
      <c r="M144" s="209">
        <v>18</v>
      </c>
      <c r="N144" s="18">
        <f t="shared" si="16"/>
        <v>6.3</v>
      </c>
      <c r="O144" s="209"/>
      <c r="P144" s="81">
        <f>(I144+J144)*8*O144</f>
        <v>0</v>
      </c>
      <c r="Q144" s="221">
        <f>N144+P144</f>
        <v>6.3</v>
      </c>
    </row>
    <row r="145" spans="1:17" s="317" customFormat="1" x14ac:dyDescent="0.2">
      <c r="A145" s="293" t="s">
        <v>517</v>
      </c>
      <c r="B145" s="12" t="s">
        <v>591</v>
      </c>
      <c r="C145" s="1">
        <v>292</v>
      </c>
      <c r="D145" s="1" t="s">
        <v>257</v>
      </c>
      <c r="E145" s="1" t="s">
        <v>476</v>
      </c>
      <c r="F145" s="1" t="s">
        <v>308</v>
      </c>
      <c r="G145" s="1">
        <v>1</v>
      </c>
      <c r="H145" s="251">
        <v>0.62</v>
      </c>
      <c r="I145" s="209">
        <v>10</v>
      </c>
      <c r="J145" s="18"/>
      <c r="K145" s="294" t="s">
        <v>234</v>
      </c>
      <c r="L145" s="251">
        <f>0.86*2</f>
        <v>1.72</v>
      </c>
      <c r="M145" s="209">
        <f>'PRECIOS INSUMOS 2015'!C$5</f>
        <v>2</v>
      </c>
      <c r="N145" s="18">
        <f t="shared" si="16"/>
        <v>3.44</v>
      </c>
      <c r="O145" s="209">
        <f>G145/H145</f>
        <v>1.6129032258064517</v>
      </c>
      <c r="P145" s="81">
        <v>23.529411764705884</v>
      </c>
      <c r="Q145" s="295">
        <v>25.279411764705884</v>
      </c>
    </row>
    <row r="146" spans="1:17" s="317" customFormat="1" x14ac:dyDescent="0.2">
      <c r="A146" s="205" t="s">
        <v>534</v>
      </c>
      <c r="B146" s="206" t="s">
        <v>527</v>
      </c>
      <c r="C146" s="207">
        <v>294</v>
      </c>
      <c r="D146" s="207" t="s">
        <v>266</v>
      </c>
      <c r="E146" s="207" t="s">
        <v>267</v>
      </c>
      <c r="F146" s="207" t="s">
        <v>308</v>
      </c>
      <c r="G146" s="207">
        <v>1</v>
      </c>
      <c r="H146" s="241">
        <v>0.5</v>
      </c>
      <c r="I146" s="209"/>
      <c r="J146" s="209">
        <v>10</v>
      </c>
      <c r="K146" s="237" t="s">
        <v>511</v>
      </c>
      <c r="L146" s="241">
        <v>2</v>
      </c>
      <c r="M146" s="209">
        <v>9.9700000000000006</v>
      </c>
      <c r="N146" s="18">
        <f t="shared" si="16"/>
        <v>19.940000000000001</v>
      </c>
      <c r="O146" s="209">
        <f>G146/H146</f>
        <v>2</v>
      </c>
      <c r="P146" s="81">
        <f>(I146+J146)*8*O146</f>
        <v>160</v>
      </c>
      <c r="Q146" s="221">
        <f>N146+P146</f>
        <v>179.94</v>
      </c>
    </row>
    <row r="147" spans="1:17" s="317" customFormat="1" x14ac:dyDescent="0.2">
      <c r="A147" s="205" t="s">
        <v>498</v>
      </c>
      <c r="B147" s="254" t="s">
        <v>263</v>
      </c>
      <c r="C147" s="207">
        <v>299</v>
      </c>
      <c r="D147" s="207" t="s">
        <v>257</v>
      </c>
      <c r="E147" s="207" t="s">
        <v>476</v>
      </c>
      <c r="F147" s="207" t="s">
        <v>308</v>
      </c>
      <c r="G147" s="207">
        <v>1</v>
      </c>
      <c r="H147" s="241"/>
      <c r="I147" s="209"/>
      <c r="J147" s="209"/>
      <c r="K147" s="237" t="s">
        <v>1365</v>
      </c>
      <c r="L147" s="241">
        <v>0.35</v>
      </c>
      <c r="M147" s="209">
        <v>18</v>
      </c>
      <c r="N147" s="18">
        <f t="shared" si="16"/>
        <v>6.3</v>
      </c>
      <c r="O147" s="209"/>
      <c r="P147" s="81">
        <f>(I147+J147)*8*O147</f>
        <v>0</v>
      </c>
      <c r="Q147" s="221">
        <f>N147+P147</f>
        <v>6.3</v>
      </c>
    </row>
    <row r="148" spans="1:17" s="317" customFormat="1" x14ac:dyDescent="0.2">
      <c r="A148" s="293" t="s">
        <v>498</v>
      </c>
      <c r="B148" s="12" t="s">
        <v>591</v>
      </c>
      <c r="C148" s="1">
        <v>299</v>
      </c>
      <c r="D148" s="1" t="s">
        <v>257</v>
      </c>
      <c r="E148" s="1" t="s">
        <v>476</v>
      </c>
      <c r="F148" s="1" t="s">
        <v>308</v>
      </c>
      <c r="G148" s="1">
        <v>1</v>
      </c>
      <c r="H148" s="251">
        <v>0.62</v>
      </c>
      <c r="I148" s="209">
        <v>10</v>
      </c>
      <c r="J148" s="18"/>
      <c r="K148" s="294" t="s">
        <v>234</v>
      </c>
      <c r="L148" s="251">
        <f>0.86*2</f>
        <v>1.72</v>
      </c>
      <c r="M148" s="209">
        <f>'PRECIOS INSUMOS 2015'!C$5</f>
        <v>2</v>
      </c>
      <c r="N148" s="18">
        <f t="shared" si="16"/>
        <v>3.44</v>
      </c>
      <c r="O148" s="209">
        <f>G148/H148</f>
        <v>1.6129032258064517</v>
      </c>
      <c r="P148" s="81">
        <v>23.529411764705884</v>
      </c>
      <c r="Q148" s="295">
        <v>25.279411764705884</v>
      </c>
    </row>
    <row r="149" spans="1:17" s="317" customFormat="1" x14ac:dyDescent="0.2">
      <c r="A149" s="205" t="s">
        <v>535</v>
      </c>
      <c r="B149" s="254" t="s">
        <v>491</v>
      </c>
      <c r="C149" s="207">
        <v>301</v>
      </c>
      <c r="D149" s="207" t="s">
        <v>266</v>
      </c>
      <c r="E149" s="207" t="s">
        <v>272</v>
      </c>
      <c r="F149" s="207" t="s">
        <v>308</v>
      </c>
      <c r="G149" s="207">
        <v>1</v>
      </c>
      <c r="H149" s="241">
        <v>0.62</v>
      </c>
      <c r="I149" s="209"/>
      <c r="J149" s="209">
        <v>10</v>
      </c>
      <c r="K149" s="237"/>
      <c r="L149" s="241"/>
      <c r="M149" s="209"/>
      <c r="N149" s="18"/>
      <c r="O149" s="209">
        <f>G149/H149</f>
        <v>1.6129032258064517</v>
      </c>
      <c r="P149" s="81">
        <f>(I149+J149)*8*O149</f>
        <v>129.03225806451613</v>
      </c>
      <c r="Q149" s="221">
        <f>N149+P149</f>
        <v>129.03225806451613</v>
      </c>
    </row>
    <row r="150" spans="1:17" s="317" customFormat="1" x14ac:dyDescent="0.2">
      <c r="A150" s="205" t="s">
        <v>536</v>
      </c>
      <c r="B150" s="254" t="s">
        <v>273</v>
      </c>
      <c r="C150" s="207">
        <v>301</v>
      </c>
      <c r="D150" s="207" t="s">
        <v>266</v>
      </c>
      <c r="E150" s="207" t="s">
        <v>272</v>
      </c>
      <c r="F150" s="207" t="s">
        <v>308</v>
      </c>
      <c r="G150" s="207">
        <v>1</v>
      </c>
      <c r="H150" s="209">
        <v>0.62</v>
      </c>
      <c r="I150" s="209"/>
      <c r="J150" s="209">
        <v>10</v>
      </c>
      <c r="K150" s="237"/>
      <c r="L150" s="241"/>
      <c r="M150" s="209"/>
      <c r="N150" s="18"/>
      <c r="O150" s="209">
        <f>G150/H150</f>
        <v>1.6129032258064517</v>
      </c>
      <c r="P150" s="81">
        <f>(I150+J150)*8*O150</f>
        <v>129.03225806451613</v>
      </c>
      <c r="Q150" s="221">
        <f>N150+P150</f>
        <v>129.03225806451613</v>
      </c>
    </row>
    <row r="151" spans="1:17" s="317" customFormat="1" x14ac:dyDescent="0.2">
      <c r="A151" s="205" t="s">
        <v>518</v>
      </c>
      <c r="B151" s="254" t="s">
        <v>263</v>
      </c>
      <c r="C151" s="207">
        <v>305</v>
      </c>
      <c r="D151" s="207" t="s">
        <v>257</v>
      </c>
      <c r="E151" s="207" t="s">
        <v>476</v>
      </c>
      <c r="F151" s="207" t="s">
        <v>308</v>
      </c>
      <c r="G151" s="207">
        <v>1</v>
      </c>
      <c r="H151" s="241"/>
      <c r="I151" s="209"/>
      <c r="J151" s="209"/>
      <c r="K151" s="237" t="s">
        <v>1365</v>
      </c>
      <c r="L151" s="241">
        <v>0.35</v>
      </c>
      <c r="M151" s="209">
        <v>18</v>
      </c>
      <c r="N151" s="18">
        <f>L151*M151</f>
        <v>6.3</v>
      </c>
      <c r="O151" s="209"/>
      <c r="P151" s="81">
        <f>(I151+J151)*8*O151</f>
        <v>0</v>
      </c>
      <c r="Q151" s="221">
        <f>N151+P151</f>
        <v>6.3</v>
      </c>
    </row>
    <row r="152" spans="1:17" s="317" customFormat="1" x14ac:dyDescent="0.2">
      <c r="A152" s="293" t="s">
        <v>518</v>
      </c>
      <c r="B152" s="12" t="s">
        <v>591</v>
      </c>
      <c r="C152" s="1">
        <v>305</v>
      </c>
      <c r="D152" s="1" t="s">
        <v>257</v>
      </c>
      <c r="E152" s="1" t="s">
        <v>476</v>
      </c>
      <c r="F152" s="1" t="s">
        <v>308</v>
      </c>
      <c r="G152" s="1">
        <v>1</v>
      </c>
      <c r="H152" s="251">
        <v>0.62</v>
      </c>
      <c r="I152" s="209">
        <v>10</v>
      </c>
      <c r="J152" s="18"/>
      <c r="K152" s="294" t="s">
        <v>234</v>
      </c>
      <c r="L152" s="251">
        <f>0.86*2</f>
        <v>1.72</v>
      </c>
      <c r="M152" s="209">
        <f>'PRECIOS INSUMOS 2015'!C$5</f>
        <v>2</v>
      </c>
      <c r="N152" s="18">
        <f>L152*M152</f>
        <v>3.44</v>
      </c>
      <c r="O152" s="209">
        <f>G152/H152</f>
        <v>1.6129032258064517</v>
      </c>
      <c r="P152" s="81">
        <v>23.529411764705884</v>
      </c>
      <c r="Q152" s="295">
        <v>25.279411764705884</v>
      </c>
    </row>
    <row r="153" spans="1:17" s="317" customFormat="1" x14ac:dyDescent="0.2">
      <c r="A153" s="205" t="s">
        <v>537</v>
      </c>
      <c r="B153" s="12" t="s">
        <v>507</v>
      </c>
      <c r="C153" s="207">
        <v>309</v>
      </c>
      <c r="D153" s="207" t="s">
        <v>266</v>
      </c>
      <c r="E153" s="207" t="s">
        <v>272</v>
      </c>
      <c r="F153" s="207" t="s">
        <v>308</v>
      </c>
      <c r="G153" s="207">
        <v>1</v>
      </c>
      <c r="H153" s="241">
        <v>2</v>
      </c>
      <c r="I153" s="209"/>
      <c r="J153" s="209">
        <v>10</v>
      </c>
      <c r="K153" s="237"/>
      <c r="L153" s="241"/>
      <c r="M153" s="209"/>
      <c r="N153" s="18"/>
      <c r="O153" s="209">
        <f>G153/H153</f>
        <v>0.5</v>
      </c>
      <c r="P153" s="81">
        <f>(I153+J153)*8*O153</f>
        <v>40</v>
      </c>
      <c r="Q153" s="221">
        <f>N153+P153</f>
        <v>40</v>
      </c>
    </row>
    <row r="154" spans="1:17" s="317" customFormat="1" x14ac:dyDescent="0.2">
      <c r="A154" s="205" t="s">
        <v>499</v>
      </c>
      <c r="B154" s="254" t="s">
        <v>263</v>
      </c>
      <c r="C154" s="207">
        <v>312</v>
      </c>
      <c r="D154" s="207" t="s">
        <v>257</v>
      </c>
      <c r="E154" s="207" t="s">
        <v>476</v>
      </c>
      <c r="F154" s="207" t="s">
        <v>308</v>
      </c>
      <c r="G154" s="207">
        <v>1</v>
      </c>
      <c r="H154" s="241"/>
      <c r="I154" s="209"/>
      <c r="J154" s="209"/>
      <c r="K154" s="237" t="s">
        <v>1365</v>
      </c>
      <c r="L154" s="241">
        <v>0.35</v>
      </c>
      <c r="M154" s="209">
        <v>18</v>
      </c>
      <c r="N154" s="18">
        <f t="shared" ref="N154:N159" si="17">L154*M154</f>
        <v>6.3</v>
      </c>
      <c r="O154" s="209"/>
      <c r="P154" s="81">
        <f>(I154+J154)*8*O154</f>
        <v>0</v>
      </c>
      <c r="Q154" s="221">
        <f>N154+P154</f>
        <v>6.3</v>
      </c>
    </row>
    <row r="155" spans="1:17" s="317" customFormat="1" x14ac:dyDescent="0.2">
      <c r="A155" s="293" t="s">
        <v>499</v>
      </c>
      <c r="B155" s="12" t="s">
        <v>591</v>
      </c>
      <c r="C155" s="1">
        <v>312</v>
      </c>
      <c r="D155" s="1" t="s">
        <v>257</v>
      </c>
      <c r="E155" s="1" t="s">
        <v>476</v>
      </c>
      <c r="F155" s="1" t="s">
        <v>308</v>
      </c>
      <c r="G155" s="1">
        <v>1</v>
      </c>
      <c r="H155" s="251">
        <v>0.62</v>
      </c>
      <c r="I155" s="209">
        <v>10</v>
      </c>
      <c r="J155" s="18"/>
      <c r="K155" s="294" t="s">
        <v>234</v>
      </c>
      <c r="L155" s="251">
        <f>0.86*2</f>
        <v>1.72</v>
      </c>
      <c r="M155" s="209">
        <f>'PRECIOS INSUMOS 2015'!C$5</f>
        <v>2</v>
      </c>
      <c r="N155" s="18">
        <f t="shared" si="17"/>
        <v>3.44</v>
      </c>
      <c r="O155" s="209">
        <f>G155/H155</f>
        <v>1.6129032258064517</v>
      </c>
      <c r="P155" s="81">
        <v>23.529411764705884</v>
      </c>
      <c r="Q155" s="295">
        <v>25.279411764705884</v>
      </c>
    </row>
    <row r="156" spans="1:17" s="317" customFormat="1" x14ac:dyDescent="0.2">
      <c r="A156" s="205" t="s">
        <v>519</v>
      </c>
      <c r="B156" s="254" t="s">
        <v>263</v>
      </c>
      <c r="C156" s="207">
        <v>319</v>
      </c>
      <c r="D156" s="207" t="s">
        <v>257</v>
      </c>
      <c r="E156" s="207" t="s">
        <v>476</v>
      </c>
      <c r="F156" s="207" t="s">
        <v>308</v>
      </c>
      <c r="G156" s="207">
        <v>1</v>
      </c>
      <c r="H156" s="241"/>
      <c r="I156" s="209"/>
      <c r="J156" s="209"/>
      <c r="K156" s="237" t="s">
        <v>1365</v>
      </c>
      <c r="L156" s="241">
        <v>0.35</v>
      </c>
      <c r="M156" s="209">
        <v>18</v>
      </c>
      <c r="N156" s="18">
        <f t="shared" si="17"/>
        <v>6.3</v>
      </c>
      <c r="O156" s="209"/>
      <c r="P156" s="81">
        <f>(I156+J156)*8*O156</f>
        <v>0</v>
      </c>
      <c r="Q156" s="221">
        <f>N156+P156</f>
        <v>6.3</v>
      </c>
    </row>
    <row r="157" spans="1:17" s="317" customFormat="1" x14ac:dyDescent="0.2">
      <c r="A157" s="293" t="s">
        <v>519</v>
      </c>
      <c r="B157" s="12" t="s">
        <v>591</v>
      </c>
      <c r="C157" s="1">
        <v>319</v>
      </c>
      <c r="D157" s="1" t="s">
        <v>257</v>
      </c>
      <c r="E157" s="1" t="s">
        <v>476</v>
      </c>
      <c r="F157" s="1" t="s">
        <v>308</v>
      </c>
      <c r="G157" s="1">
        <v>1</v>
      </c>
      <c r="H157" s="251">
        <v>0.62</v>
      </c>
      <c r="I157" s="209">
        <v>10</v>
      </c>
      <c r="J157" s="18"/>
      <c r="K157" s="294" t="s">
        <v>234</v>
      </c>
      <c r="L157" s="251">
        <f>0.86*2</f>
        <v>1.72</v>
      </c>
      <c r="M157" s="209">
        <f>'PRECIOS INSUMOS 2015'!C$5</f>
        <v>2</v>
      </c>
      <c r="N157" s="18">
        <f t="shared" si="17"/>
        <v>3.44</v>
      </c>
      <c r="O157" s="209">
        <f>G157/H157</f>
        <v>1.6129032258064517</v>
      </c>
      <c r="P157" s="81">
        <v>23.529411764705884</v>
      </c>
      <c r="Q157" s="295">
        <v>25.279411764705884</v>
      </c>
    </row>
    <row r="158" spans="1:17" s="317" customFormat="1" x14ac:dyDescent="0.2">
      <c r="A158" s="205" t="s">
        <v>500</v>
      </c>
      <c r="B158" s="254" t="s">
        <v>263</v>
      </c>
      <c r="C158" s="207">
        <v>326</v>
      </c>
      <c r="D158" s="207" t="s">
        <v>257</v>
      </c>
      <c r="E158" s="207" t="s">
        <v>476</v>
      </c>
      <c r="F158" s="207" t="s">
        <v>308</v>
      </c>
      <c r="G158" s="207">
        <v>1</v>
      </c>
      <c r="H158" s="241"/>
      <c r="I158" s="209"/>
      <c r="J158" s="209"/>
      <c r="K158" s="237" t="s">
        <v>1365</v>
      </c>
      <c r="L158" s="241">
        <v>0.35</v>
      </c>
      <c r="M158" s="209">
        <v>18</v>
      </c>
      <c r="N158" s="18">
        <f t="shared" si="17"/>
        <v>6.3</v>
      </c>
      <c r="O158" s="209"/>
      <c r="P158" s="81">
        <f>(I158+J158)*8*O158</f>
        <v>0</v>
      </c>
      <c r="Q158" s="221">
        <f>N158+P158</f>
        <v>6.3</v>
      </c>
    </row>
    <row r="159" spans="1:17" s="317" customFormat="1" x14ac:dyDescent="0.2">
      <c r="A159" s="293" t="s">
        <v>500</v>
      </c>
      <c r="B159" s="12" t="s">
        <v>591</v>
      </c>
      <c r="C159" s="1">
        <v>326</v>
      </c>
      <c r="D159" s="1" t="s">
        <v>257</v>
      </c>
      <c r="E159" s="1" t="s">
        <v>476</v>
      </c>
      <c r="F159" s="1" t="s">
        <v>308</v>
      </c>
      <c r="G159" s="1">
        <v>1</v>
      </c>
      <c r="H159" s="251">
        <v>0.62</v>
      </c>
      <c r="I159" s="209">
        <v>10</v>
      </c>
      <c r="J159" s="18"/>
      <c r="K159" s="294" t="s">
        <v>234</v>
      </c>
      <c r="L159" s="251">
        <f>0.86*2</f>
        <v>1.72</v>
      </c>
      <c r="M159" s="209">
        <f>'PRECIOS INSUMOS 2015'!C$5</f>
        <v>2</v>
      </c>
      <c r="N159" s="18">
        <f t="shared" si="17"/>
        <v>3.44</v>
      </c>
      <c r="O159" s="209">
        <f>G159/H159</f>
        <v>1.6129032258064517</v>
      </c>
      <c r="P159" s="81">
        <v>23.529411764705884</v>
      </c>
      <c r="Q159" s="295">
        <v>25.279411764705884</v>
      </c>
    </row>
    <row r="160" spans="1:17" s="317" customFormat="1" x14ac:dyDescent="0.2">
      <c r="A160" s="205" t="s">
        <v>501</v>
      </c>
      <c r="B160" s="12" t="s">
        <v>507</v>
      </c>
      <c r="C160" s="207">
        <v>328</v>
      </c>
      <c r="D160" s="207" t="s">
        <v>266</v>
      </c>
      <c r="E160" s="207" t="s">
        <v>272</v>
      </c>
      <c r="F160" s="207" t="s">
        <v>308</v>
      </c>
      <c r="G160" s="207">
        <v>1</v>
      </c>
      <c r="H160" s="241">
        <v>2</v>
      </c>
      <c r="I160" s="209"/>
      <c r="J160" s="209">
        <v>10</v>
      </c>
      <c r="K160" s="237"/>
      <c r="L160" s="241"/>
      <c r="M160" s="209"/>
      <c r="N160" s="18"/>
      <c r="O160" s="209">
        <f>G160/H160</f>
        <v>0.5</v>
      </c>
      <c r="P160" s="81">
        <f>(I160+J160)*8*O160</f>
        <v>40</v>
      </c>
      <c r="Q160" s="221">
        <f>N160+P160</f>
        <v>40</v>
      </c>
    </row>
    <row r="161" spans="1:18" s="317" customFormat="1" x14ac:dyDescent="0.2">
      <c r="A161" s="205" t="s">
        <v>502</v>
      </c>
      <c r="B161" s="254" t="s">
        <v>273</v>
      </c>
      <c r="C161" s="207">
        <v>330</v>
      </c>
      <c r="D161" s="207" t="s">
        <v>266</v>
      </c>
      <c r="E161" s="207" t="s">
        <v>272</v>
      </c>
      <c r="F161" s="207" t="s">
        <v>308</v>
      </c>
      <c r="G161" s="207">
        <v>1</v>
      </c>
      <c r="H161" s="209">
        <v>0.62</v>
      </c>
      <c r="I161" s="209"/>
      <c r="J161" s="209">
        <v>10</v>
      </c>
      <c r="K161" s="237"/>
      <c r="L161" s="241"/>
      <c r="M161" s="209"/>
      <c r="N161" s="18"/>
      <c r="O161" s="209">
        <f>G161/H161</f>
        <v>1.6129032258064517</v>
      </c>
      <c r="P161" s="81">
        <f>(I161+J161)*8*O161</f>
        <v>129.03225806451613</v>
      </c>
      <c r="Q161" s="221">
        <f>N161+P161</f>
        <v>129.03225806451613</v>
      </c>
    </row>
    <row r="162" spans="1:18" s="317" customFormat="1" x14ac:dyDescent="0.2">
      <c r="A162" s="205" t="s">
        <v>503</v>
      </c>
      <c r="B162" s="254" t="s">
        <v>491</v>
      </c>
      <c r="C162" s="207">
        <v>330</v>
      </c>
      <c r="D162" s="207" t="s">
        <v>266</v>
      </c>
      <c r="E162" s="207" t="s">
        <v>272</v>
      </c>
      <c r="F162" s="207" t="s">
        <v>308</v>
      </c>
      <c r="G162" s="207">
        <v>1</v>
      </c>
      <c r="H162" s="241">
        <v>0.62</v>
      </c>
      <c r="I162" s="209"/>
      <c r="J162" s="209">
        <v>10</v>
      </c>
      <c r="K162" s="237"/>
      <c r="L162" s="241"/>
      <c r="M162" s="209"/>
      <c r="N162" s="18"/>
      <c r="O162" s="209">
        <f>G162/H162</f>
        <v>1.6129032258064517</v>
      </c>
      <c r="P162" s="81">
        <f>(I162+J162)*8*O162</f>
        <v>129.03225806451613</v>
      </c>
      <c r="Q162" s="221">
        <f>N162+P162</f>
        <v>129.03225806451613</v>
      </c>
    </row>
    <row r="163" spans="1:18" s="317" customFormat="1" x14ac:dyDescent="0.2">
      <c r="A163" s="205" t="s">
        <v>520</v>
      </c>
      <c r="B163" s="254" t="s">
        <v>263</v>
      </c>
      <c r="C163" s="207">
        <v>333</v>
      </c>
      <c r="D163" s="207" t="s">
        <v>257</v>
      </c>
      <c r="E163" s="207" t="s">
        <v>476</v>
      </c>
      <c r="F163" s="207" t="s">
        <v>308</v>
      </c>
      <c r="G163" s="207">
        <v>1</v>
      </c>
      <c r="H163" s="241"/>
      <c r="I163" s="209"/>
      <c r="J163" s="209"/>
      <c r="K163" s="237" t="s">
        <v>1365</v>
      </c>
      <c r="L163" s="241">
        <v>0.35</v>
      </c>
      <c r="M163" s="209">
        <v>18</v>
      </c>
      <c r="N163" s="18">
        <f t="shared" ref="N163:N171" si="18">L163*M163</f>
        <v>6.3</v>
      </c>
      <c r="O163" s="209"/>
      <c r="P163" s="81">
        <f>(I163+J163)*8*O163</f>
        <v>0</v>
      </c>
      <c r="Q163" s="221">
        <f>N163+P163</f>
        <v>6.3</v>
      </c>
    </row>
    <row r="164" spans="1:18" s="317" customFormat="1" x14ac:dyDescent="0.2">
      <c r="A164" s="293" t="s">
        <v>520</v>
      </c>
      <c r="B164" s="12" t="s">
        <v>591</v>
      </c>
      <c r="C164" s="1">
        <v>333</v>
      </c>
      <c r="D164" s="1" t="s">
        <v>257</v>
      </c>
      <c r="E164" s="1" t="s">
        <v>476</v>
      </c>
      <c r="F164" s="1" t="s">
        <v>308</v>
      </c>
      <c r="G164" s="1">
        <v>1</v>
      </c>
      <c r="H164" s="251">
        <v>0.62</v>
      </c>
      <c r="I164" s="209">
        <v>10</v>
      </c>
      <c r="J164" s="18"/>
      <c r="K164" s="294" t="s">
        <v>234</v>
      </c>
      <c r="L164" s="251">
        <f>0.86*2</f>
        <v>1.72</v>
      </c>
      <c r="M164" s="209">
        <f>'PRECIOS INSUMOS 2015'!C$5</f>
        <v>2</v>
      </c>
      <c r="N164" s="18">
        <f t="shared" si="18"/>
        <v>3.44</v>
      </c>
      <c r="O164" s="209">
        <f>G164/H164</f>
        <v>1.6129032258064517</v>
      </c>
      <c r="P164" s="81">
        <v>23.529411764705884</v>
      </c>
      <c r="Q164" s="295">
        <v>25.279411764705884</v>
      </c>
    </row>
    <row r="165" spans="1:18" s="317" customFormat="1" x14ac:dyDescent="0.2">
      <c r="A165" s="205" t="s">
        <v>538</v>
      </c>
      <c r="B165" s="206" t="s">
        <v>527</v>
      </c>
      <c r="C165" s="207">
        <v>335</v>
      </c>
      <c r="D165" s="207" t="s">
        <v>266</v>
      </c>
      <c r="E165" s="207" t="s">
        <v>267</v>
      </c>
      <c r="F165" s="207" t="s">
        <v>308</v>
      </c>
      <c r="G165" s="207">
        <v>1</v>
      </c>
      <c r="H165" s="241">
        <v>0.5</v>
      </c>
      <c r="I165" s="209"/>
      <c r="J165" s="209">
        <v>10</v>
      </c>
      <c r="K165" s="237" t="s">
        <v>511</v>
      </c>
      <c r="L165" s="241">
        <v>2</v>
      </c>
      <c r="M165" s="209">
        <v>9.9700000000000006</v>
      </c>
      <c r="N165" s="18">
        <f t="shared" si="18"/>
        <v>19.940000000000001</v>
      </c>
      <c r="O165" s="209">
        <f>G165/H165</f>
        <v>2</v>
      </c>
      <c r="P165" s="81">
        <f>(I165+J165)*8*O165</f>
        <v>160</v>
      </c>
      <c r="Q165" s="221">
        <f>N165+P165</f>
        <v>179.94</v>
      </c>
    </row>
    <row r="166" spans="1:18" s="317" customFormat="1" x14ac:dyDescent="0.2">
      <c r="A166" s="205" t="s">
        <v>539</v>
      </c>
      <c r="B166" s="254" t="s">
        <v>263</v>
      </c>
      <c r="C166" s="207">
        <v>342</v>
      </c>
      <c r="D166" s="207" t="s">
        <v>257</v>
      </c>
      <c r="E166" s="207" t="s">
        <v>476</v>
      </c>
      <c r="F166" s="207" t="s">
        <v>308</v>
      </c>
      <c r="G166" s="207">
        <v>1</v>
      </c>
      <c r="H166" s="241"/>
      <c r="I166" s="209"/>
      <c r="J166" s="209"/>
      <c r="K166" s="237" t="s">
        <v>1365</v>
      </c>
      <c r="L166" s="241">
        <v>0.35</v>
      </c>
      <c r="M166" s="209">
        <v>18</v>
      </c>
      <c r="N166" s="18">
        <f t="shared" si="18"/>
        <v>6.3</v>
      </c>
      <c r="O166" s="209"/>
      <c r="P166" s="81">
        <f>(I166+J166)*8*O166</f>
        <v>0</v>
      </c>
      <c r="Q166" s="221">
        <f>N166+P166</f>
        <v>6.3</v>
      </c>
    </row>
    <row r="167" spans="1:18" s="317" customFormat="1" x14ac:dyDescent="0.2">
      <c r="A167" s="311" t="s">
        <v>539</v>
      </c>
      <c r="B167" s="312" t="s">
        <v>591</v>
      </c>
      <c r="C167" s="313">
        <v>342</v>
      </c>
      <c r="D167" s="313" t="s">
        <v>257</v>
      </c>
      <c r="E167" s="313" t="s">
        <v>476</v>
      </c>
      <c r="F167" s="313" t="s">
        <v>308</v>
      </c>
      <c r="G167" s="313">
        <v>1</v>
      </c>
      <c r="H167" s="314">
        <v>0.62</v>
      </c>
      <c r="I167" s="209">
        <v>10</v>
      </c>
      <c r="J167" s="104"/>
      <c r="K167" s="315" t="s">
        <v>234</v>
      </c>
      <c r="L167" s="314">
        <f>0.86*2</f>
        <v>1.72</v>
      </c>
      <c r="M167" s="209">
        <f>'PRECIOS INSUMOS 2015'!C$5</f>
        <v>2</v>
      </c>
      <c r="N167" s="104">
        <f t="shared" si="18"/>
        <v>3.44</v>
      </c>
      <c r="O167" s="219">
        <f>G167/H167</f>
        <v>1.6129032258064517</v>
      </c>
      <c r="P167" s="299">
        <v>23.529411764705884</v>
      </c>
      <c r="Q167" s="316">
        <v>25.279411764705884</v>
      </c>
    </row>
    <row r="168" spans="1:18" s="317" customFormat="1" x14ac:dyDescent="0.2">
      <c r="A168" s="302" t="s">
        <v>504</v>
      </c>
      <c r="B168" s="303" t="s">
        <v>263</v>
      </c>
      <c r="C168" s="304">
        <v>349</v>
      </c>
      <c r="D168" s="304" t="s">
        <v>257</v>
      </c>
      <c r="E168" s="304" t="s">
        <v>476</v>
      </c>
      <c r="F168" s="304" t="s">
        <v>308</v>
      </c>
      <c r="G168" s="304">
        <v>1</v>
      </c>
      <c r="H168" s="305"/>
      <c r="I168" s="306"/>
      <c r="J168" s="306"/>
      <c r="K168" s="237" t="s">
        <v>1365</v>
      </c>
      <c r="L168" s="305">
        <v>0.35</v>
      </c>
      <c r="M168" s="209">
        <v>18</v>
      </c>
      <c r="N168" s="57">
        <f t="shared" si="18"/>
        <v>6.3</v>
      </c>
      <c r="O168" s="306"/>
      <c r="P168" s="308">
        <f>(I168+J168)*8*O168</f>
        <v>0</v>
      </c>
      <c r="Q168" s="309">
        <f>N168+P168</f>
        <v>6.3</v>
      </c>
    </row>
    <row r="169" spans="1:18" s="317" customFormat="1" x14ac:dyDescent="0.2">
      <c r="A169" s="293" t="s">
        <v>504</v>
      </c>
      <c r="B169" s="12" t="s">
        <v>591</v>
      </c>
      <c r="C169" s="1">
        <v>349</v>
      </c>
      <c r="D169" s="1" t="s">
        <v>257</v>
      </c>
      <c r="E169" s="1" t="s">
        <v>476</v>
      </c>
      <c r="F169" s="1" t="s">
        <v>308</v>
      </c>
      <c r="G169" s="1">
        <v>1</v>
      </c>
      <c r="H169" s="251">
        <v>0.62</v>
      </c>
      <c r="I169" s="209">
        <v>10</v>
      </c>
      <c r="J169" s="18"/>
      <c r="K169" s="294" t="s">
        <v>234</v>
      </c>
      <c r="L169" s="251">
        <f>0.86*2</f>
        <v>1.72</v>
      </c>
      <c r="M169" s="209">
        <f>'PRECIOS INSUMOS 2015'!C$5</f>
        <v>2</v>
      </c>
      <c r="N169" s="18">
        <f t="shared" si="18"/>
        <v>3.44</v>
      </c>
      <c r="O169" s="209">
        <f>G169/H169</f>
        <v>1.6129032258064517</v>
      </c>
      <c r="P169" s="81">
        <v>23.529411764705884</v>
      </c>
      <c r="Q169" s="295">
        <v>25.279411764705884</v>
      </c>
    </row>
    <row r="170" spans="1:18" s="317" customFormat="1" x14ac:dyDescent="0.2">
      <c r="A170" s="205" t="s">
        <v>540</v>
      </c>
      <c r="B170" s="254" t="s">
        <v>263</v>
      </c>
      <c r="C170" s="207">
        <v>356</v>
      </c>
      <c r="D170" s="207" t="s">
        <v>257</v>
      </c>
      <c r="E170" s="207" t="s">
        <v>476</v>
      </c>
      <c r="F170" s="207" t="s">
        <v>308</v>
      </c>
      <c r="G170" s="207">
        <v>1</v>
      </c>
      <c r="H170" s="241"/>
      <c r="I170" s="209"/>
      <c r="J170" s="209"/>
      <c r="K170" s="237" t="s">
        <v>1365</v>
      </c>
      <c r="L170" s="241">
        <v>0.35</v>
      </c>
      <c r="M170" s="209">
        <v>18</v>
      </c>
      <c r="N170" s="18">
        <f t="shared" si="18"/>
        <v>6.3</v>
      </c>
      <c r="O170" s="209"/>
      <c r="P170" s="81">
        <f>(I170+J170)*8*O170</f>
        <v>0</v>
      </c>
      <c r="Q170" s="221">
        <f>N170+P170</f>
        <v>6.3</v>
      </c>
    </row>
    <row r="171" spans="1:18" s="317" customFormat="1" x14ac:dyDescent="0.2">
      <c r="A171" s="293" t="s">
        <v>540</v>
      </c>
      <c r="B171" s="12" t="s">
        <v>591</v>
      </c>
      <c r="C171" s="1">
        <v>356</v>
      </c>
      <c r="D171" s="1" t="s">
        <v>257</v>
      </c>
      <c r="E171" s="1" t="s">
        <v>476</v>
      </c>
      <c r="F171" s="1" t="s">
        <v>308</v>
      </c>
      <c r="G171" s="1">
        <v>1</v>
      </c>
      <c r="H171" s="251">
        <v>0.62</v>
      </c>
      <c r="I171" s="209">
        <v>10</v>
      </c>
      <c r="J171" s="18"/>
      <c r="K171" s="294" t="s">
        <v>234</v>
      </c>
      <c r="L171" s="251">
        <f>0.86*2</f>
        <v>1.72</v>
      </c>
      <c r="M171" s="209">
        <f>'PRECIOS INSUMOS 2015'!C$5</f>
        <v>2</v>
      </c>
      <c r="N171" s="18">
        <f t="shared" si="18"/>
        <v>3.44</v>
      </c>
      <c r="O171" s="209">
        <f>G171/H171</f>
        <v>1.6129032258064517</v>
      </c>
      <c r="P171" s="81">
        <v>23.529411764705884</v>
      </c>
      <c r="Q171" s="295">
        <v>25.279411764705884</v>
      </c>
    </row>
    <row r="172" spans="1:18" s="317" customFormat="1" x14ac:dyDescent="0.2">
      <c r="A172" s="205" t="s">
        <v>521</v>
      </c>
      <c r="B172" s="254" t="s">
        <v>273</v>
      </c>
      <c r="C172" s="207">
        <v>358</v>
      </c>
      <c r="D172" s="207" t="s">
        <v>266</v>
      </c>
      <c r="E172" s="207" t="s">
        <v>272</v>
      </c>
      <c r="F172" s="207" t="s">
        <v>308</v>
      </c>
      <c r="G172" s="207">
        <v>1</v>
      </c>
      <c r="H172" s="209">
        <v>0.62</v>
      </c>
      <c r="I172" s="209"/>
      <c r="J172" s="209">
        <v>10</v>
      </c>
      <c r="K172" s="237"/>
      <c r="L172" s="241"/>
      <c r="M172" s="209"/>
      <c r="N172" s="18"/>
      <c r="O172" s="209">
        <f>G172/H172</f>
        <v>1.6129032258064517</v>
      </c>
      <c r="P172" s="81">
        <f>(I172+J172)*8*O172</f>
        <v>129.03225806451613</v>
      </c>
      <c r="Q172" s="221">
        <f>N172+P172</f>
        <v>129.03225806451613</v>
      </c>
    </row>
    <row r="173" spans="1:18" s="317" customFormat="1" x14ac:dyDescent="0.2">
      <c r="A173" s="318"/>
      <c r="B173" s="100" t="s">
        <v>219</v>
      </c>
      <c r="C173" s="206"/>
      <c r="D173" s="206"/>
      <c r="E173" s="207"/>
      <c r="F173" s="207"/>
      <c r="G173" s="207"/>
      <c r="H173" s="241"/>
      <c r="I173" s="209"/>
      <c r="J173" s="209"/>
      <c r="K173" s="237"/>
      <c r="L173" s="241"/>
      <c r="M173" s="209"/>
      <c r="N173" s="18"/>
      <c r="O173" s="209"/>
      <c r="P173" s="81"/>
      <c r="Q173" s="221"/>
    </row>
    <row r="174" spans="1:18" x14ac:dyDescent="0.2">
      <c r="A174" s="205"/>
      <c r="B174" s="254"/>
      <c r="C174" s="207"/>
      <c r="D174" s="207"/>
      <c r="E174" s="207"/>
      <c r="F174" s="207"/>
      <c r="G174" s="207"/>
      <c r="H174" s="241"/>
      <c r="I174" s="209"/>
      <c r="J174" s="209"/>
      <c r="K174" s="237"/>
      <c r="L174" s="241">
        <f>SUBTOTAL(9,L9:L173)</f>
        <v>325.09520864381648</v>
      </c>
      <c r="M174" s="209"/>
      <c r="N174" s="18"/>
      <c r="O174" s="209"/>
      <c r="P174" s="81"/>
      <c r="Q174" s="221"/>
    </row>
    <row r="175" spans="1:18" x14ac:dyDescent="0.2">
      <c r="A175" s="2087" t="s">
        <v>595</v>
      </c>
      <c r="B175" s="2088"/>
      <c r="C175" s="2088"/>
      <c r="D175" s="2088"/>
      <c r="E175" s="2088"/>
      <c r="F175" s="2088"/>
      <c r="G175" s="2088"/>
      <c r="H175" s="209"/>
      <c r="I175" s="2209" t="s">
        <v>290</v>
      </c>
      <c r="J175" s="2210"/>
      <c r="K175" s="2210"/>
      <c r="L175" s="68">
        <f>57*57</f>
        <v>3249</v>
      </c>
      <c r="M175" s="18">
        <v>0.17</v>
      </c>
      <c r="N175" s="18">
        <f>L175*M175</f>
        <v>552.33000000000004</v>
      </c>
      <c r="O175" s="209">
        <f>SUM(O9:O174)</f>
        <v>213.42817974609233</v>
      </c>
      <c r="P175" s="255"/>
      <c r="Q175" s="221">
        <f>N175+P175</f>
        <v>552.33000000000004</v>
      </c>
      <c r="R175" s="249"/>
    </row>
    <row r="176" spans="1:18" ht="13.5" thickBot="1" x14ac:dyDescent="0.25">
      <c r="A176" s="2100" t="s">
        <v>219</v>
      </c>
      <c r="B176" s="2101"/>
      <c r="C176" s="55"/>
      <c r="D176" s="244"/>
      <c r="E176" s="244"/>
      <c r="F176" s="244"/>
      <c r="G176" s="244">
        <v>1</v>
      </c>
      <c r="H176" s="247"/>
      <c r="I176" s="209">
        <v>10</v>
      </c>
      <c r="J176" s="209">
        <v>10</v>
      </c>
      <c r="K176" s="243"/>
      <c r="L176" s="56"/>
      <c r="M176" s="56"/>
      <c r="N176" s="56"/>
      <c r="O176" s="72"/>
      <c r="P176" s="257">
        <f>I176*O176*8</f>
        <v>0</v>
      </c>
      <c r="Q176" s="73">
        <f>SUM(Q9:Q175)</f>
        <v>14649.209635684678</v>
      </c>
      <c r="R176" s="249"/>
    </row>
    <row r="177" spans="1:18" ht="13.5" thickBot="1" x14ac:dyDescent="0.25">
      <c r="A177" s="258"/>
      <c r="B177" s="259"/>
      <c r="C177" s="259"/>
      <c r="D177" s="261"/>
      <c r="E177" s="261"/>
      <c r="F177" s="261"/>
      <c r="G177" s="319"/>
      <c r="H177" s="264"/>
      <c r="I177" s="266"/>
      <c r="J177" s="266"/>
      <c r="K177" s="259"/>
      <c r="L177" s="266"/>
      <c r="M177" s="264"/>
      <c r="N177" s="267"/>
      <c r="O177" s="266"/>
      <c r="P177" s="67"/>
      <c r="Q177" s="320"/>
    </row>
    <row r="178" spans="1:18" x14ac:dyDescent="0.2">
      <c r="A178" s="269" t="s">
        <v>250</v>
      </c>
      <c r="B178" s="259"/>
      <c r="C178" s="259"/>
      <c r="D178" s="259"/>
      <c r="E178" s="261"/>
      <c r="F178" s="259"/>
      <c r="G178" s="270"/>
      <c r="H178" s="264"/>
      <c r="I178" s="259"/>
      <c r="J178" s="259"/>
      <c r="K178" s="259"/>
      <c r="L178" s="266"/>
      <c r="M178" s="264"/>
      <c r="N178" s="267"/>
      <c r="O178" s="266"/>
      <c r="P178" s="321"/>
      <c r="Q178" s="322" t="s">
        <v>244</v>
      </c>
      <c r="R178" s="249"/>
    </row>
    <row r="179" spans="1:18" ht="13.5" thickBot="1" x14ac:dyDescent="0.25">
      <c r="A179" s="269"/>
      <c r="B179" s="259"/>
      <c r="C179" s="259"/>
      <c r="D179" s="259"/>
      <c r="E179" s="261"/>
      <c r="F179" s="259"/>
      <c r="G179" s="270"/>
      <c r="H179" s="264"/>
      <c r="I179" s="259"/>
      <c r="J179" s="259"/>
      <c r="K179" s="259"/>
      <c r="L179" s="266"/>
      <c r="M179" s="264"/>
      <c r="N179" s="267"/>
      <c r="O179" s="264"/>
      <c r="P179" s="52"/>
      <c r="Q179" s="323">
        <f ca="1">TODAY()</f>
        <v>45398</v>
      </c>
      <c r="R179" s="249"/>
    </row>
    <row r="180" spans="1:18" ht="13.5" thickBot="1" x14ac:dyDescent="0.25">
      <c r="A180" s="272" t="s">
        <v>251</v>
      </c>
      <c r="B180" s="273"/>
      <c r="C180" s="273"/>
      <c r="D180" s="273"/>
      <c r="E180" s="192"/>
      <c r="F180" s="273"/>
      <c r="G180" s="275"/>
      <c r="H180" s="292"/>
      <c r="I180" s="273"/>
      <c r="J180" s="273"/>
      <c r="K180" s="273"/>
      <c r="L180" s="195"/>
      <c r="M180" s="292"/>
      <c r="N180" s="324"/>
      <c r="O180" s="195"/>
      <c r="P180" s="280"/>
      <c r="Q180" s="325"/>
    </row>
    <row r="181" spans="1:18" x14ac:dyDescent="0.2">
      <c r="A181" s="35"/>
      <c r="B181" s="35"/>
      <c r="C181" s="34"/>
      <c r="D181" s="17"/>
      <c r="E181" s="17"/>
      <c r="F181" s="17"/>
      <c r="G181" s="17"/>
      <c r="H181" s="50"/>
      <c r="I181" s="17"/>
      <c r="J181" s="17"/>
      <c r="K181" s="45"/>
      <c r="L181" s="50"/>
      <c r="M181" s="67"/>
      <c r="N181" s="52"/>
      <c r="O181" s="2057"/>
      <c r="P181" s="2057"/>
      <c r="Q181" s="2057"/>
    </row>
  </sheetData>
  <autoFilter ref="A8:R176"/>
  <mergeCells count="21">
    <mergeCell ref="A1:Q1"/>
    <mergeCell ref="A2:Q2"/>
    <mergeCell ref="M3:O3"/>
    <mergeCell ref="P5:P7"/>
    <mergeCell ref="Q5:Q7"/>
    <mergeCell ref="A3:F3"/>
    <mergeCell ref="O181:Q181"/>
    <mergeCell ref="A175:G175"/>
    <mergeCell ref="A176:B176"/>
    <mergeCell ref="I175:K175"/>
    <mergeCell ref="K5:N6"/>
    <mergeCell ref="F6:F7"/>
    <mergeCell ref="H5:H7"/>
    <mergeCell ref="C4:C7"/>
    <mergeCell ref="G5:G7"/>
    <mergeCell ref="A4:A7"/>
    <mergeCell ref="I5:J6"/>
    <mergeCell ref="D4:N4"/>
    <mergeCell ref="B4:B7"/>
    <mergeCell ref="O5:O7"/>
    <mergeCell ref="O4:Q4"/>
  </mergeCells>
  <phoneticPr fontId="7" type="noConversion"/>
  <pageMargins left="0.59055118110236227" right="0" top="0.39370078740157483" bottom="0.19685039370078741" header="0" footer="0"/>
  <pageSetup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N14"/>
  <sheetViews>
    <sheetView showGridLines="0" showZeros="0" defaultGridColor="0" colorId="23" workbookViewId="0">
      <pane xSplit="1" ySplit="1" topLeftCell="B2" activePane="bottomRight" state="frozen"/>
      <selection activeCell="O3" sqref="O3"/>
      <selection pane="topRight" activeCell="O3" sqref="O3"/>
      <selection pane="bottomLeft" activeCell="O3" sqref="O3"/>
      <selection pane="bottomRight" activeCell="K21" sqref="K21"/>
    </sheetView>
  </sheetViews>
  <sheetFormatPr baseColWidth="10" defaultColWidth="11.42578125" defaultRowHeight="18" x14ac:dyDescent="0.25"/>
  <cols>
    <col min="1" max="1" width="29.7109375" style="180" customWidth="1"/>
    <col min="2" max="2" width="13.28515625" style="116" customWidth="1"/>
    <col min="3" max="3" width="13" style="116" customWidth="1"/>
    <col min="4" max="4" width="11.28515625" style="2" customWidth="1"/>
    <col min="5" max="5" width="11.5703125" style="2" customWidth="1"/>
    <col min="6" max="6" width="10.7109375" style="2" customWidth="1"/>
    <col min="7" max="7" width="13.28515625" style="2" customWidth="1"/>
    <col min="8" max="8" width="7.28515625" style="2" customWidth="1"/>
    <col min="9" max="9" width="14.28515625" style="116" customWidth="1"/>
    <col min="10" max="10" width="5.7109375" style="174" customWidth="1"/>
    <col min="11" max="11" width="10.7109375" style="116" customWidth="1"/>
    <col min="12" max="12" width="13" style="116" customWidth="1"/>
    <col min="13" max="16384" width="11.42578125" style="2"/>
  </cols>
  <sheetData>
    <row r="1" spans="1:14" ht="18" customHeight="1" thickBot="1" x14ac:dyDescent="0.3">
      <c r="A1" s="2221" t="s">
        <v>311</v>
      </c>
      <c r="B1" s="2222"/>
      <c r="C1" s="2222"/>
      <c r="D1" s="2223"/>
      <c r="E1" s="2223"/>
      <c r="F1" s="2223"/>
      <c r="G1" s="2223"/>
      <c r="H1" s="2224"/>
      <c r="I1" s="2223"/>
      <c r="J1" s="2223"/>
      <c r="K1" s="2223"/>
      <c r="L1" s="2225"/>
    </row>
    <row r="2" spans="1:14" s="39" customFormat="1" ht="18.75" customHeight="1" thickBot="1" x14ac:dyDescent="0.3">
      <c r="A2" s="175" t="s">
        <v>312</v>
      </c>
      <c r="B2" s="2228" t="s">
        <v>313</v>
      </c>
      <c r="C2" s="2235" t="s">
        <v>314</v>
      </c>
      <c r="D2" s="2232" t="s">
        <v>451</v>
      </c>
      <c r="E2" s="2233"/>
      <c r="F2" s="2234"/>
      <c r="G2" s="165">
        <v>21.74</v>
      </c>
      <c r="H2" s="2237" t="s">
        <v>919</v>
      </c>
      <c r="I2" s="2230" t="s">
        <v>465</v>
      </c>
      <c r="J2" s="2230"/>
      <c r="K2" s="2231"/>
      <c r="L2" s="38" t="s">
        <v>465</v>
      </c>
    </row>
    <row r="3" spans="1:14" s="41" customFormat="1" ht="75" customHeight="1" thickBot="1" x14ac:dyDescent="0.3">
      <c r="A3" s="176" t="s">
        <v>315</v>
      </c>
      <c r="B3" s="2229"/>
      <c r="C3" s="2236"/>
      <c r="D3" s="42" t="s">
        <v>452</v>
      </c>
      <c r="E3" s="433" t="s">
        <v>325</v>
      </c>
      <c r="F3" s="433" t="s">
        <v>219</v>
      </c>
      <c r="G3" s="434" t="s">
        <v>918</v>
      </c>
      <c r="H3" s="2238"/>
      <c r="I3" s="164" t="s">
        <v>322</v>
      </c>
      <c r="J3" s="43" t="s">
        <v>323</v>
      </c>
      <c r="K3" s="40" t="s">
        <v>324</v>
      </c>
      <c r="L3" s="40" t="s">
        <v>324</v>
      </c>
    </row>
    <row r="4" spans="1:14" x14ac:dyDescent="0.25">
      <c r="A4" s="435" t="s">
        <v>297</v>
      </c>
      <c r="B4" s="436" t="e">
        <f>#REF!</f>
        <v>#REF!</v>
      </c>
      <c r="C4" s="436" t="e">
        <f>#REF!</f>
        <v>#REF!</v>
      </c>
      <c r="D4" s="166" t="e">
        <f>(B4-C4)*6%/365*137*50%</f>
        <v>#REF!</v>
      </c>
      <c r="E4" s="437" t="e">
        <f>C4*10%/365*137*50%</f>
        <v>#REF!</v>
      </c>
      <c r="F4" s="437" t="e">
        <f>D4+E4</f>
        <v>#REF!</v>
      </c>
      <c r="G4" s="437">
        <v>60</v>
      </c>
      <c r="H4" s="437" t="e">
        <f>#REF!</f>
        <v>#REF!</v>
      </c>
      <c r="I4" s="113" t="e">
        <f>(G4*G$2)*H4</f>
        <v>#REF!</v>
      </c>
      <c r="J4" s="167">
        <v>5.5</v>
      </c>
      <c r="K4" s="113" t="e">
        <f>I4*J4%</f>
        <v>#REF!</v>
      </c>
      <c r="L4" s="113" t="e">
        <f>F4+K4</f>
        <v>#REF!</v>
      </c>
    </row>
    <row r="5" spans="1:14" x14ac:dyDescent="0.25">
      <c r="A5" s="177" t="s">
        <v>25</v>
      </c>
      <c r="B5" s="436" t="e">
        <f>#REF!</f>
        <v>#REF!</v>
      </c>
      <c r="C5" s="436" t="e">
        <f>#REF!</f>
        <v>#REF!</v>
      </c>
      <c r="D5" s="168" t="e">
        <f>(B5-C5)*6%/365*368*50%</f>
        <v>#REF!</v>
      </c>
      <c r="E5" s="437" t="e">
        <f>C5*10%/365*367*50%</f>
        <v>#REF!</v>
      </c>
      <c r="F5" s="437" t="e">
        <f t="shared" ref="F5:F10" si="0">D5+E5</f>
        <v>#REF!</v>
      </c>
      <c r="G5" s="437">
        <f>[7]Hoja1!$B$18</f>
        <v>345</v>
      </c>
      <c r="H5" s="437" t="e">
        <f>#REF!</f>
        <v>#REF!</v>
      </c>
      <c r="I5" s="113" t="e">
        <f t="shared" ref="I5:I10" si="1">(G5*G$2)*H5</f>
        <v>#REF!</v>
      </c>
      <c r="J5" s="167">
        <v>2</v>
      </c>
      <c r="K5" s="113" t="e">
        <f t="shared" ref="K5:K10" si="2">I5*J5%</f>
        <v>#REF!</v>
      </c>
      <c r="L5" s="113" t="e">
        <f t="shared" ref="L5:L10" si="3">F5+K5</f>
        <v>#REF!</v>
      </c>
    </row>
    <row r="6" spans="1:14" x14ac:dyDescent="0.25">
      <c r="A6" s="177" t="s">
        <v>21</v>
      </c>
      <c r="B6" s="436">
        <f>'FICHA DE COSTO'!D26</f>
        <v>198392.128</v>
      </c>
      <c r="C6" s="436" t="e">
        <f>'FICHA DE COSTO'!#REF!</f>
        <v>#REF!</v>
      </c>
      <c r="D6" s="168" t="e">
        <f>(B6-C6)*6%/365*334*50%</f>
        <v>#REF!</v>
      </c>
      <c r="E6" s="437" t="e">
        <f>C6*10%/365*334*50%</f>
        <v>#REF!</v>
      </c>
      <c r="F6" s="437" t="e">
        <f t="shared" si="0"/>
        <v>#REF!</v>
      </c>
      <c r="G6" s="437">
        <f>[7]Hoja1!$B$23</f>
        <v>160</v>
      </c>
      <c r="H6" s="437" t="e">
        <f>'FICHA DE COSTO'!#REF!</f>
        <v>#REF!</v>
      </c>
      <c r="I6" s="113" t="e">
        <f t="shared" si="1"/>
        <v>#REF!</v>
      </c>
      <c r="J6" s="167">
        <v>2</v>
      </c>
      <c r="K6" s="113" t="e">
        <f t="shared" si="2"/>
        <v>#REF!</v>
      </c>
      <c r="L6" s="113" t="e">
        <f t="shared" si="3"/>
        <v>#REF!</v>
      </c>
    </row>
    <row r="7" spans="1:14" x14ac:dyDescent="0.25">
      <c r="A7" s="177" t="s">
        <v>316</v>
      </c>
      <c r="B7" s="436" t="e">
        <f>#REF!</f>
        <v>#REF!</v>
      </c>
      <c r="C7" s="436" t="e">
        <f>#REF!</f>
        <v>#REF!</v>
      </c>
      <c r="D7" s="168" t="e">
        <f>(B7-C7)*6%/365*'CT YUCA'!C109*50%</f>
        <v>#REF!</v>
      </c>
      <c r="E7" s="437" t="e">
        <f>C7*10%/365*334*50%</f>
        <v>#REF!</v>
      </c>
      <c r="F7" s="437" t="e">
        <f t="shared" si="0"/>
        <v>#REF!</v>
      </c>
      <c r="G7" s="437">
        <f>[7]Hoja1!$B$13</f>
        <v>150</v>
      </c>
      <c r="H7" s="437">
        <v>18</v>
      </c>
      <c r="I7" s="113">
        <f t="shared" si="1"/>
        <v>58697.999999999993</v>
      </c>
      <c r="J7" s="169">
        <v>5</v>
      </c>
      <c r="K7" s="113">
        <f>I7*J7%</f>
        <v>2934.8999999999996</v>
      </c>
      <c r="L7" s="113" t="e">
        <f t="shared" si="3"/>
        <v>#REF!</v>
      </c>
    </row>
    <row r="8" spans="1:14" x14ac:dyDescent="0.25">
      <c r="A8" s="177" t="s">
        <v>464</v>
      </c>
      <c r="B8" s="436" t="e">
        <f>#REF!</f>
        <v>#REF!</v>
      </c>
      <c r="C8" s="436" t="e">
        <f>#REF!</f>
        <v>#REF!</v>
      </c>
      <c r="D8" s="168" t="e">
        <f>(B8-C8)*6%/365*180</f>
        <v>#REF!</v>
      </c>
      <c r="E8" s="168" t="e">
        <f>C8*10%/365*180</f>
        <v>#REF!</v>
      </c>
      <c r="F8" s="168" t="e">
        <f>D8+E8</f>
        <v>#REF!</v>
      </c>
      <c r="G8" s="168">
        <f>[7]Hoja1!$B$9</f>
        <v>100</v>
      </c>
      <c r="H8" s="168" t="e">
        <f>#REF!</f>
        <v>#REF!</v>
      </c>
      <c r="I8" s="113" t="e">
        <f t="shared" si="1"/>
        <v>#REF!</v>
      </c>
      <c r="J8" s="169">
        <v>6</v>
      </c>
      <c r="K8" s="113" t="e">
        <f>I8*J8%</f>
        <v>#REF!</v>
      </c>
      <c r="L8" s="113" t="e">
        <f t="shared" si="3"/>
        <v>#REF!</v>
      </c>
    </row>
    <row r="9" spans="1:14" x14ac:dyDescent="0.25">
      <c r="A9" s="177" t="s">
        <v>631</v>
      </c>
      <c r="B9" s="436" t="e">
        <f>#REF!</f>
        <v>#REF!</v>
      </c>
      <c r="C9" s="436" t="e">
        <f>#REF!</f>
        <v>#REF!</v>
      </c>
      <c r="D9" s="168" t="e">
        <f>(B9-C9)*6%/365*180</f>
        <v>#REF!</v>
      </c>
      <c r="E9" s="437" t="e">
        <f>C9*10%/365*180</f>
        <v>#REF!</v>
      </c>
      <c r="F9" s="437" t="e">
        <f t="shared" si="0"/>
        <v>#REF!</v>
      </c>
      <c r="G9" s="437">
        <f>[7]Hoja1!$B$5</f>
        <v>280</v>
      </c>
      <c r="H9" s="437" t="e">
        <f>#REF!</f>
        <v>#REF!</v>
      </c>
      <c r="I9" s="113" t="e">
        <f t="shared" si="1"/>
        <v>#REF!</v>
      </c>
      <c r="J9" s="167">
        <v>7.7</v>
      </c>
      <c r="K9" s="113" t="e">
        <f t="shared" si="2"/>
        <v>#REF!</v>
      </c>
      <c r="L9" s="113" t="e">
        <f t="shared" si="3"/>
        <v>#REF!</v>
      </c>
    </row>
    <row r="10" spans="1:14" x14ac:dyDescent="0.25">
      <c r="A10" s="177" t="s">
        <v>317</v>
      </c>
      <c r="B10" s="436" t="e">
        <f>#REF!</f>
        <v>#REF!</v>
      </c>
      <c r="C10" s="436" t="e">
        <f>#REF!</f>
        <v>#REF!</v>
      </c>
      <c r="D10" s="168" t="e">
        <f>(B10-C10)*6%/365*460*50%</f>
        <v>#REF!</v>
      </c>
      <c r="E10" s="437" t="e">
        <f>C10*10%/365*460*50%</f>
        <v>#REF!</v>
      </c>
      <c r="F10" s="437" t="e">
        <f t="shared" si="0"/>
        <v>#REF!</v>
      </c>
      <c r="G10" s="437">
        <f>[7]Hoja1!$B$91</f>
        <v>90</v>
      </c>
      <c r="H10" s="437" t="e">
        <f>#REF!</f>
        <v>#REF!</v>
      </c>
      <c r="I10" s="113" t="e">
        <f t="shared" si="1"/>
        <v>#REF!</v>
      </c>
      <c r="J10" s="167">
        <v>9.4</v>
      </c>
      <c r="K10" s="113" t="e">
        <f t="shared" si="2"/>
        <v>#REF!</v>
      </c>
      <c r="L10" s="113" t="e">
        <f t="shared" si="3"/>
        <v>#REF!</v>
      </c>
    </row>
    <row r="11" spans="1:14" x14ac:dyDescent="0.25">
      <c r="A11" s="178" t="s">
        <v>326</v>
      </c>
      <c r="B11" s="170"/>
      <c r="C11" s="170"/>
      <c r="D11" s="171"/>
      <c r="E11" s="171"/>
      <c r="F11" s="171"/>
      <c r="G11" s="171"/>
      <c r="H11" s="171"/>
      <c r="I11" s="172"/>
      <c r="J11" s="173"/>
      <c r="K11" s="172"/>
      <c r="L11" s="172"/>
      <c r="M11" s="114"/>
      <c r="N11" s="114"/>
    </row>
    <row r="12" spans="1:14" x14ac:dyDescent="0.25">
      <c r="A12" s="178" t="s">
        <v>318</v>
      </c>
      <c r="B12" s="170"/>
      <c r="C12" s="170"/>
      <c r="D12" s="171"/>
      <c r="E12" s="171"/>
      <c r="F12" s="171"/>
      <c r="G12" s="171"/>
      <c r="H12" s="171"/>
      <c r="I12" s="172"/>
      <c r="J12" s="173"/>
      <c r="K12" s="172"/>
      <c r="L12" s="172"/>
      <c r="M12" s="114"/>
      <c r="N12" s="114"/>
    </row>
    <row r="13" spans="1:14" ht="15.75" hidden="1" x14ac:dyDescent="0.25">
      <c r="A13" s="2226" t="s">
        <v>319</v>
      </c>
      <c r="B13" s="2226"/>
      <c r="C13" s="2226"/>
      <c r="D13" s="2226"/>
      <c r="E13" s="2226"/>
      <c r="F13" s="2226"/>
      <c r="G13" s="2226"/>
      <c r="H13" s="2226"/>
      <c r="I13" s="2226"/>
      <c r="J13" s="2226"/>
      <c r="K13" s="2226"/>
      <c r="L13" s="2226"/>
      <c r="M13" s="2227"/>
      <c r="N13" s="2227"/>
    </row>
    <row r="14" spans="1:14" x14ac:dyDescent="0.25">
      <c r="A14" s="179" t="s">
        <v>320</v>
      </c>
      <c r="B14" s="170"/>
      <c r="C14" s="170"/>
      <c r="D14" s="171"/>
      <c r="E14" s="171"/>
      <c r="F14" s="171"/>
      <c r="G14" s="171"/>
      <c r="H14" s="171"/>
      <c r="I14" s="172"/>
      <c r="J14" s="173"/>
      <c r="K14" s="172"/>
      <c r="L14" s="172"/>
      <c r="M14" s="114"/>
      <c r="N14" s="114"/>
    </row>
  </sheetData>
  <mergeCells count="7">
    <mergeCell ref="A1:L1"/>
    <mergeCell ref="A13:N13"/>
    <mergeCell ref="B2:B3"/>
    <mergeCell ref="I2:K2"/>
    <mergeCell ref="D2:F2"/>
    <mergeCell ref="C2:C3"/>
    <mergeCell ref="H2:H3"/>
  </mergeCells>
  <phoneticPr fontId="7" type="noConversion"/>
  <hyperlinks>
    <hyperlink ref="B4" location="'FC BONIATO'!C39" display="'FC BONIATO'!C39"/>
    <hyperlink ref="B5" location="'FC M. XANT'!C41" display="'FC M. XANT'!C41"/>
    <hyperlink ref="B6" location="'FC M COLOC'!C41" display="'FC M COLOC'!C41"/>
    <hyperlink ref="B7" location="'FC YUCA'!C41" display="'FC YUCA'!C41"/>
    <hyperlink ref="C7" location="'CT YUCA'!D41" display="'CT YUCA'!D41"/>
    <hyperlink ref="B10" location="'FC P. FRUTA'!C39" display="'FC P. FRUTA'!C39"/>
    <hyperlink ref="F4" location="'FC BONIATO'!C40" display="'FC BONIATO'!C40"/>
    <hyperlink ref="E4" location="'FC BONIATO'!D40" display="'FC BONIATO'!D40"/>
    <hyperlink ref="E5" location="'FC M. XANT'!D42" display="'FC M. XANT'!D42"/>
    <hyperlink ref="F5" location="'FC M. XANT'!C42" display="'FC M. XANT'!C42"/>
    <hyperlink ref="E6" location="'FC M COLOC'!D42" display="'FC M COLOC'!D42"/>
    <hyperlink ref="F6" location="'FC M COLOC'!C42" display="'FC M COLOC'!C42"/>
    <hyperlink ref="F7" location="'FC YUCA'!C42" display="'FC YUCA'!C42"/>
    <hyperlink ref="E10" location="'FC P. FRUTA'!D40" display="'FC P. FRUTA'!D40"/>
    <hyperlink ref="F10" location="'FC P. FRUTA'!C40" display="'FC P. FRUTA'!C40"/>
    <hyperlink ref="B9" location="'FC MACHO'!C41" display="'FC MACHO'!C41"/>
    <hyperlink ref="E9" location="'FC MACHO'!C42" display="'FC MACHO'!C42"/>
    <hyperlink ref="F9" location="'FC MACHO'!D42" display="'FC MACHO'!D42"/>
    <hyperlink ref="E7" location="'FC YUCA'!D42" display="'FC YUCA'!D42"/>
    <hyperlink ref="B8" location="'FC BURRO'!C41" display="'FC BURRO'!C41"/>
    <hyperlink ref="A4" r:id="rId1" location="'FC BONIATO(2)'!C36"/>
    <hyperlink ref="C4" location="'FC BONIATO'!C39" display="'FC BONIATO'!C39"/>
    <hyperlink ref="C6" location="'FC M COLOC'!C41" display="'FC M COLOC'!C41"/>
    <hyperlink ref="C5" location="'FC M. XANT'!C41" display="'FC M. XANT'!C41"/>
    <hyperlink ref="C8" location="'FC BURRO'!C41" display="'FC BURRO'!C41"/>
    <hyperlink ref="C9" location="'FC MACHO'!C41" display="'FC MACHO'!C41"/>
    <hyperlink ref="C10" location="'FC P. FRUTA'!C39" display="'FC P. FRUTA'!C39"/>
  </hyperlinks>
  <pageMargins left="0.78740157480314965" right="0.19685039370078741" top="0.98425196850393704" bottom="0.39370078740157483" header="0" footer="0"/>
  <pageSetup orientation="landscape" horizontalDpi="300" verticalDpi="300" r:id="rId2"/>
  <headerFooter alignWithMargins="0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150"/>
  <sheetViews>
    <sheetView showGridLines="0" defaultGridColor="0" colorId="23" workbookViewId="0">
      <pane xSplit="13" ySplit="7" topLeftCell="N8" activePane="bottomRight" state="frozen"/>
      <selection activeCell="O3" sqref="O3"/>
      <selection pane="topRight" activeCell="O3" sqref="O3"/>
      <selection pane="bottomLeft" activeCell="O3" sqref="O3"/>
      <selection pane="bottomRight" activeCell="P10" sqref="P10"/>
    </sheetView>
  </sheetViews>
  <sheetFormatPr baseColWidth="10" defaultColWidth="11.42578125" defaultRowHeight="18" x14ac:dyDescent="0.25"/>
  <cols>
    <col min="1" max="1" width="7.7109375" style="421" customWidth="1"/>
    <col min="2" max="2" width="53.28515625" style="421" customWidth="1"/>
    <col min="3" max="3" width="0" style="421" hidden="1" customWidth="1"/>
    <col min="4" max="4" width="13.28515625" style="476" hidden="1" customWidth="1"/>
    <col min="5" max="5" width="15.7109375" style="117" hidden="1" customWidth="1"/>
    <col min="6" max="13" width="0" style="421" hidden="1" customWidth="1"/>
    <col min="14" max="14" width="16.7109375" style="421" hidden="1" customWidth="1"/>
    <col min="15" max="15" width="14.28515625" style="421" customWidth="1"/>
    <col min="16" max="16" width="18.28515625" style="421" customWidth="1"/>
    <col min="17" max="17" width="11.42578125" style="421"/>
    <col min="18" max="18" width="45.28515625" style="421" customWidth="1"/>
    <col min="19" max="16384" width="11.42578125" style="421"/>
  </cols>
  <sheetData>
    <row r="1" spans="1:20" ht="20.25" x14ac:dyDescent="0.3">
      <c r="A1" s="477"/>
      <c r="B1" s="2247" t="s">
        <v>886</v>
      </c>
      <c r="C1" s="2248"/>
      <c r="D1" s="2248"/>
      <c r="E1" s="2248"/>
      <c r="F1" s="2248"/>
      <c r="G1" s="2248"/>
      <c r="H1" s="2248"/>
      <c r="I1" s="2248"/>
      <c r="J1" s="2248"/>
      <c r="K1" s="2248"/>
      <c r="L1" s="2248"/>
      <c r="M1" s="2248"/>
      <c r="N1" s="2249"/>
      <c r="O1" s="2249"/>
      <c r="P1" s="2249"/>
    </row>
    <row r="2" spans="1:20" ht="21" thickBot="1" x14ac:dyDescent="0.35">
      <c r="A2" s="477"/>
      <c r="B2" s="2250" t="s">
        <v>888</v>
      </c>
      <c r="C2" s="2251"/>
      <c r="D2" s="2251"/>
      <c r="E2" s="2251"/>
      <c r="F2" s="2251"/>
      <c r="G2" s="2251"/>
      <c r="H2" s="2251"/>
      <c r="I2" s="2251"/>
      <c r="J2" s="2251"/>
      <c r="K2" s="2251"/>
      <c r="L2" s="2251"/>
      <c r="M2" s="2251"/>
      <c r="N2" s="2252"/>
      <c r="O2" s="2252"/>
      <c r="P2" s="2252"/>
    </row>
    <row r="3" spans="1:20" ht="20.25" x14ac:dyDescent="0.3">
      <c r="A3" s="2272" t="s">
        <v>641</v>
      </c>
      <c r="B3" s="2273"/>
      <c r="C3" s="2273"/>
      <c r="D3" s="2273"/>
      <c r="E3" s="2273"/>
      <c r="F3" s="2273"/>
      <c r="G3" s="2273"/>
      <c r="H3" s="2273"/>
      <c r="I3" s="2273"/>
      <c r="J3" s="2273"/>
      <c r="K3" s="2273"/>
      <c r="L3" s="2273"/>
      <c r="M3" s="2273"/>
      <c r="N3" s="478"/>
      <c r="O3" s="479"/>
      <c r="P3" s="480"/>
    </row>
    <row r="4" spans="1:20" ht="21.75" thickBot="1" x14ac:dyDescent="0.35">
      <c r="A4" s="2274" t="s">
        <v>642</v>
      </c>
      <c r="B4" s="2275"/>
      <c r="C4" s="2275"/>
      <c r="D4" s="2275"/>
      <c r="E4" s="2275"/>
      <c r="F4" s="2275"/>
      <c r="G4" s="2275"/>
      <c r="H4" s="2275"/>
      <c r="I4" s="2275"/>
      <c r="J4" s="2275"/>
      <c r="K4" s="2275"/>
      <c r="L4" s="2275"/>
      <c r="M4" s="2275"/>
      <c r="N4" s="481"/>
      <c r="O4" s="482"/>
      <c r="P4" s="483"/>
    </row>
    <row r="5" spans="1:20" ht="13.5" thickBot="1" x14ac:dyDescent="0.25">
      <c r="A5" s="2276" t="s">
        <v>643</v>
      </c>
      <c r="B5" s="2239" t="s">
        <v>246</v>
      </c>
      <c r="C5" s="2239" t="s">
        <v>644</v>
      </c>
      <c r="D5" s="2244" t="s">
        <v>645</v>
      </c>
      <c r="E5" s="2244" t="s">
        <v>646</v>
      </c>
      <c r="F5" s="2253" t="s">
        <v>226</v>
      </c>
      <c r="G5" s="2253" t="s">
        <v>647</v>
      </c>
      <c r="H5" s="2253" t="s">
        <v>648</v>
      </c>
      <c r="I5" s="2268" t="s">
        <v>649</v>
      </c>
      <c r="J5" s="2269"/>
      <c r="K5" s="2253" t="s">
        <v>650</v>
      </c>
      <c r="L5" s="2256" t="s">
        <v>651</v>
      </c>
      <c r="M5" s="2259" t="s">
        <v>652</v>
      </c>
      <c r="N5" s="2262" t="s">
        <v>653</v>
      </c>
      <c r="O5" s="2263"/>
      <c r="P5" s="2264"/>
    </row>
    <row r="6" spans="1:20" ht="12.75" x14ac:dyDescent="0.2">
      <c r="A6" s="2277"/>
      <c r="B6" s="2240"/>
      <c r="C6" s="2242"/>
      <c r="D6" s="2245"/>
      <c r="E6" s="2245"/>
      <c r="F6" s="2254"/>
      <c r="G6" s="2254"/>
      <c r="H6" s="2254"/>
      <c r="I6" s="2270"/>
      <c r="J6" s="2271"/>
      <c r="K6" s="2254"/>
      <c r="L6" s="2257"/>
      <c r="M6" s="2260"/>
      <c r="N6" s="2265" t="s">
        <v>654</v>
      </c>
      <c r="O6" s="2267" t="s">
        <v>655</v>
      </c>
      <c r="P6" s="2267" t="s">
        <v>655</v>
      </c>
    </row>
    <row r="7" spans="1:20" ht="21" thickBot="1" x14ac:dyDescent="0.3">
      <c r="A7" s="2278"/>
      <c r="B7" s="2241"/>
      <c r="C7" s="2243"/>
      <c r="D7" s="2246"/>
      <c r="E7" s="2246"/>
      <c r="F7" s="2255"/>
      <c r="G7" s="2255"/>
      <c r="H7" s="2255"/>
      <c r="I7" s="121" t="s">
        <v>325</v>
      </c>
      <c r="J7" s="121" t="s">
        <v>452</v>
      </c>
      <c r="K7" s="2255"/>
      <c r="L7" s="2258"/>
      <c r="M7" s="2261"/>
      <c r="N7" s="2266"/>
      <c r="O7" s="2266"/>
      <c r="P7" s="2266"/>
      <c r="R7" s="156" t="s">
        <v>234</v>
      </c>
      <c r="S7" s="157">
        <v>3</v>
      </c>
      <c r="T7" s="157">
        <v>3</v>
      </c>
    </row>
    <row r="8" spans="1:20" ht="20.25" x14ac:dyDescent="0.3">
      <c r="A8" s="484"/>
      <c r="B8" s="122" t="s">
        <v>656</v>
      </c>
      <c r="C8" s="122"/>
      <c r="D8" s="123"/>
      <c r="E8" s="123"/>
      <c r="F8" s="124">
        <v>1</v>
      </c>
      <c r="G8" s="124">
        <v>2</v>
      </c>
      <c r="H8" s="124">
        <v>3</v>
      </c>
      <c r="I8" s="124">
        <v>4</v>
      </c>
      <c r="J8" s="124">
        <v>5</v>
      </c>
      <c r="K8" s="124">
        <v>6</v>
      </c>
      <c r="L8" s="124"/>
      <c r="M8" s="124">
        <v>7</v>
      </c>
      <c r="N8" s="124">
        <v>8</v>
      </c>
      <c r="O8" s="124">
        <v>2</v>
      </c>
      <c r="P8" s="485">
        <v>3</v>
      </c>
    </row>
    <row r="9" spans="1:20" ht="20.25" x14ac:dyDescent="0.3">
      <c r="A9" s="486">
        <v>1</v>
      </c>
      <c r="B9" s="125" t="s">
        <v>903</v>
      </c>
      <c r="C9" s="126" t="s">
        <v>657</v>
      </c>
      <c r="D9" s="127">
        <v>1</v>
      </c>
      <c r="E9" s="127">
        <v>12</v>
      </c>
      <c r="F9" s="119" t="s">
        <v>658</v>
      </c>
      <c r="G9" s="128">
        <v>19.079999999999998</v>
      </c>
      <c r="H9" s="128">
        <v>2.9000000000000001E-2</v>
      </c>
      <c r="I9" s="128">
        <f t="shared" ref="I9:I40" si="0">16.1/1000</f>
        <v>1.61E-2</v>
      </c>
      <c r="J9" s="128">
        <f t="shared" ref="J9:J40" si="1">(53.68-16.1)/1000</f>
        <v>3.7579999999999995E-2</v>
      </c>
      <c r="K9" s="128">
        <f t="shared" ref="K9:K40" si="2">H9+J9</f>
        <v>6.658E-2</v>
      </c>
      <c r="L9" s="128">
        <f t="shared" ref="L9:L40" si="3">G9+K9</f>
        <v>19.146579999999997</v>
      </c>
      <c r="M9" s="469">
        <f t="shared" ref="M9:M40" si="4">(G9+I9)*5+K9</f>
        <v>95.547080000000008</v>
      </c>
      <c r="N9" s="469">
        <f t="shared" ref="N9:N40" si="5">ROUND(M9,1)</f>
        <v>95.5</v>
      </c>
      <c r="O9" s="469">
        <f t="shared" ref="O9:O40" si="6">ROUND(M9,0)</f>
        <v>96</v>
      </c>
      <c r="P9" s="487">
        <f t="shared" ref="P9:P40" si="7">O9*1000</f>
        <v>96000</v>
      </c>
    </row>
    <row r="10" spans="1:20" ht="20.25" x14ac:dyDescent="0.3">
      <c r="A10" s="486">
        <v>2</v>
      </c>
      <c r="B10" s="129" t="s">
        <v>659</v>
      </c>
      <c r="C10" s="126" t="s">
        <v>660</v>
      </c>
      <c r="D10" s="130">
        <v>45</v>
      </c>
      <c r="E10" s="130"/>
      <c r="F10" s="119" t="s">
        <v>658</v>
      </c>
      <c r="G10" s="147">
        <v>12.458</v>
      </c>
      <c r="H10" s="128">
        <v>2.9000000000000001E-2</v>
      </c>
      <c r="I10" s="128">
        <f t="shared" si="0"/>
        <v>1.61E-2</v>
      </c>
      <c r="J10" s="128">
        <f t="shared" si="1"/>
        <v>3.7579999999999995E-2</v>
      </c>
      <c r="K10" s="128">
        <f t="shared" si="2"/>
        <v>6.658E-2</v>
      </c>
      <c r="L10" s="128">
        <f t="shared" si="3"/>
        <v>12.52458</v>
      </c>
      <c r="M10" s="469">
        <f t="shared" si="4"/>
        <v>62.437080000000002</v>
      </c>
      <c r="N10" s="469">
        <f t="shared" si="5"/>
        <v>62.4</v>
      </c>
      <c r="O10" s="469">
        <f t="shared" si="6"/>
        <v>62</v>
      </c>
      <c r="P10" s="487">
        <f t="shared" si="7"/>
        <v>62000</v>
      </c>
    </row>
    <row r="11" spans="1:20" ht="20.25" x14ac:dyDescent="0.3">
      <c r="A11" s="486">
        <v>3</v>
      </c>
      <c r="B11" s="129" t="s">
        <v>661</v>
      </c>
      <c r="C11" s="126" t="s">
        <v>662</v>
      </c>
      <c r="D11" s="130" t="s">
        <v>663</v>
      </c>
      <c r="E11" s="131">
        <v>2.5</v>
      </c>
      <c r="F11" s="119" t="s">
        <v>658</v>
      </c>
      <c r="G11" s="147">
        <v>171.19</v>
      </c>
      <c r="H11" s="128">
        <v>2.9000000000000001E-2</v>
      </c>
      <c r="I11" s="128">
        <f t="shared" si="0"/>
        <v>1.61E-2</v>
      </c>
      <c r="J11" s="128">
        <f t="shared" si="1"/>
        <v>3.7579999999999995E-2</v>
      </c>
      <c r="K11" s="128">
        <f t="shared" si="2"/>
        <v>6.658E-2</v>
      </c>
      <c r="L11" s="128">
        <f t="shared" si="3"/>
        <v>171.25657999999999</v>
      </c>
      <c r="M11" s="469">
        <f t="shared" si="4"/>
        <v>856.09708000000001</v>
      </c>
      <c r="N11" s="469">
        <f t="shared" si="5"/>
        <v>856.1</v>
      </c>
      <c r="O11" s="469">
        <f t="shared" si="6"/>
        <v>856</v>
      </c>
      <c r="P11" s="487">
        <f t="shared" si="7"/>
        <v>856000</v>
      </c>
    </row>
    <row r="12" spans="1:20" ht="20.25" x14ac:dyDescent="0.3">
      <c r="A12" s="486">
        <v>4</v>
      </c>
      <c r="B12" s="129" t="s">
        <v>664</v>
      </c>
      <c r="C12" s="126" t="s">
        <v>662</v>
      </c>
      <c r="D12" s="130">
        <v>5</v>
      </c>
      <c r="E12" s="130">
        <v>20</v>
      </c>
      <c r="F12" s="119" t="s">
        <v>658</v>
      </c>
      <c r="G12" s="147">
        <v>28.62</v>
      </c>
      <c r="H12" s="128">
        <v>2.9000000000000001E-2</v>
      </c>
      <c r="I12" s="128">
        <f t="shared" si="0"/>
        <v>1.61E-2</v>
      </c>
      <c r="J12" s="128">
        <f t="shared" si="1"/>
        <v>3.7579999999999995E-2</v>
      </c>
      <c r="K12" s="128">
        <f t="shared" si="2"/>
        <v>6.658E-2</v>
      </c>
      <c r="L12" s="128">
        <f t="shared" si="3"/>
        <v>28.686579999999999</v>
      </c>
      <c r="M12" s="469">
        <f t="shared" si="4"/>
        <v>143.24708000000001</v>
      </c>
      <c r="N12" s="469">
        <f t="shared" si="5"/>
        <v>143.19999999999999</v>
      </c>
      <c r="O12" s="469">
        <f t="shared" si="6"/>
        <v>143</v>
      </c>
      <c r="P12" s="487">
        <f t="shared" si="7"/>
        <v>143000</v>
      </c>
    </row>
    <row r="13" spans="1:20" ht="20.25" x14ac:dyDescent="0.3">
      <c r="A13" s="486">
        <v>5</v>
      </c>
      <c r="B13" s="129" t="s">
        <v>665</v>
      </c>
      <c r="C13" s="126" t="s">
        <v>657</v>
      </c>
      <c r="D13" s="130">
        <v>1</v>
      </c>
      <c r="E13" s="130">
        <v>20</v>
      </c>
      <c r="F13" s="119" t="s">
        <v>658</v>
      </c>
      <c r="G13" s="147">
        <v>4.7699999999999996</v>
      </c>
      <c r="H13" s="128">
        <v>2.9000000000000001E-2</v>
      </c>
      <c r="I13" s="128">
        <f t="shared" si="0"/>
        <v>1.61E-2</v>
      </c>
      <c r="J13" s="128">
        <f t="shared" si="1"/>
        <v>3.7579999999999995E-2</v>
      </c>
      <c r="K13" s="128">
        <f t="shared" si="2"/>
        <v>6.658E-2</v>
      </c>
      <c r="L13" s="128">
        <f t="shared" si="3"/>
        <v>4.8365799999999997</v>
      </c>
      <c r="M13" s="469">
        <f t="shared" si="4"/>
        <v>23.997079999999993</v>
      </c>
      <c r="N13" s="469">
        <f t="shared" si="5"/>
        <v>24</v>
      </c>
      <c r="O13" s="469">
        <f t="shared" si="6"/>
        <v>24</v>
      </c>
      <c r="P13" s="487">
        <f t="shared" si="7"/>
        <v>24000</v>
      </c>
    </row>
    <row r="14" spans="1:20" ht="20.25" x14ac:dyDescent="0.3">
      <c r="A14" s="486">
        <v>6</v>
      </c>
      <c r="B14" s="129" t="s">
        <v>666</v>
      </c>
      <c r="C14" s="126" t="s">
        <v>667</v>
      </c>
      <c r="D14" s="131">
        <v>0.5</v>
      </c>
      <c r="E14" s="130">
        <v>15</v>
      </c>
      <c r="F14" s="119" t="s">
        <v>658</v>
      </c>
      <c r="G14" s="147">
        <v>5.91</v>
      </c>
      <c r="H14" s="128">
        <v>2.9000000000000001E-2</v>
      </c>
      <c r="I14" s="128">
        <f t="shared" si="0"/>
        <v>1.61E-2</v>
      </c>
      <c r="J14" s="128">
        <f t="shared" si="1"/>
        <v>3.7579999999999995E-2</v>
      </c>
      <c r="K14" s="128">
        <f t="shared" si="2"/>
        <v>6.658E-2</v>
      </c>
      <c r="L14" s="128">
        <f t="shared" si="3"/>
        <v>5.9765800000000002</v>
      </c>
      <c r="M14" s="469">
        <f t="shared" si="4"/>
        <v>29.697079999999996</v>
      </c>
      <c r="N14" s="469">
        <f t="shared" si="5"/>
        <v>29.7</v>
      </c>
      <c r="O14" s="469">
        <f t="shared" si="6"/>
        <v>30</v>
      </c>
      <c r="P14" s="487">
        <f t="shared" si="7"/>
        <v>30000</v>
      </c>
    </row>
    <row r="15" spans="1:20" ht="20.25" x14ac:dyDescent="0.3">
      <c r="A15" s="486">
        <v>7</v>
      </c>
      <c r="B15" s="129" t="s">
        <v>668</v>
      </c>
      <c r="C15" s="126" t="s">
        <v>657</v>
      </c>
      <c r="D15" s="130">
        <v>20</v>
      </c>
      <c r="E15" s="130"/>
      <c r="F15" s="119" t="s">
        <v>658</v>
      </c>
      <c r="G15" s="147">
        <v>27.8</v>
      </c>
      <c r="H15" s="128">
        <v>2.9000000000000001E-2</v>
      </c>
      <c r="I15" s="128">
        <f t="shared" si="0"/>
        <v>1.61E-2</v>
      </c>
      <c r="J15" s="128">
        <f t="shared" si="1"/>
        <v>3.7579999999999995E-2</v>
      </c>
      <c r="K15" s="128">
        <f t="shared" si="2"/>
        <v>6.658E-2</v>
      </c>
      <c r="L15" s="128">
        <f t="shared" si="3"/>
        <v>27.866579999999999</v>
      </c>
      <c r="M15" s="469">
        <f t="shared" si="4"/>
        <v>139.14707999999999</v>
      </c>
      <c r="N15" s="469">
        <f t="shared" si="5"/>
        <v>139.1</v>
      </c>
      <c r="O15" s="469">
        <f t="shared" si="6"/>
        <v>139</v>
      </c>
      <c r="P15" s="487">
        <f t="shared" si="7"/>
        <v>139000</v>
      </c>
    </row>
    <row r="16" spans="1:20" ht="20.25" x14ac:dyDescent="0.3">
      <c r="A16" s="486">
        <v>8</v>
      </c>
      <c r="B16" s="129" t="s">
        <v>669</v>
      </c>
      <c r="C16" s="126" t="s">
        <v>667</v>
      </c>
      <c r="D16" s="130">
        <v>20</v>
      </c>
      <c r="E16" s="130"/>
      <c r="F16" s="119" t="s">
        <v>658</v>
      </c>
      <c r="G16" s="147">
        <v>2.15</v>
      </c>
      <c r="H16" s="128">
        <v>2.9000000000000001E-2</v>
      </c>
      <c r="I16" s="128">
        <f t="shared" si="0"/>
        <v>1.61E-2</v>
      </c>
      <c r="J16" s="128">
        <f t="shared" si="1"/>
        <v>3.7579999999999995E-2</v>
      </c>
      <c r="K16" s="128">
        <f t="shared" si="2"/>
        <v>6.658E-2</v>
      </c>
      <c r="L16" s="128">
        <f t="shared" si="3"/>
        <v>2.21658</v>
      </c>
      <c r="M16" s="469">
        <f t="shared" si="4"/>
        <v>10.897079999999999</v>
      </c>
      <c r="N16" s="469">
        <f t="shared" si="5"/>
        <v>10.9</v>
      </c>
      <c r="O16" s="469">
        <f t="shared" si="6"/>
        <v>11</v>
      </c>
      <c r="P16" s="487">
        <f t="shared" si="7"/>
        <v>11000</v>
      </c>
    </row>
    <row r="17" spans="1:16" ht="20.25" x14ac:dyDescent="0.3">
      <c r="A17" s="486">
        <v>9</v>
      </c>
      <c r="B17" s="129" t="s">
        <v>670</v>
      </c>
      <c r="C17" s="126" t="s">
        <v>657</v>
      </c>
      <c r="D17" s="130">
        <v>15</v>
      </c>
      <c r="E17" s="130"/>
      <c r="F17" s="119" t="s">
        <v>658</v>
      </c>
      <c r="G17" s="147">
        <v>11.236000000000001</v>
      </c>
      <c r="H17" s="128">
        <v>2.9000000000000001E-2</v>
      </c>
      <c r="I17" s="128">
        <f t="shared" si="0"/>
        <v>1.61E-2</v>
      </c>
      <c r="J17" s="128">
        <f t="shared" si="1"/>
        <v>3.7579999999999995E-2</v>
      </c>
      <c r="K17" s="128">
        <f t="shared" si="2"/>
        <v>6.658E-2</v>
      </c>
      <c r="L17" s="128">
        <f t="shared" si="3"/>
        <v>11.302580000000001</v>
      </c>
      <c r="M17" s="469">
        <f t="shared" si="4"/>
        <v>56.327080000000002</v>
      </c>
      <c r="N17" s="469">
        <f t="shared" si="5"/>
        <v>56.3</v>
      </c>
      <c r="O17" s="469">
        <f t="shared" si="6"/>
        <v>56</v>
      </c>
      <c r="P17" s="487">
        <f t="shared" si="7"/>
        <v>56000</v>
      </c>
    </row>
    <row r="18" spans="1:16" ht="20.25" x14ac:dyDescent="0.3">
      <c r="A18" s="486">
        <v>10</v>
      </c>
      <c r="B18" s="129" t="s">
        <v>671</v>
      </c>
      <c r="C18" s="126" t="s">
        <v>657</v>
      </c>
      <c r="D18" s="130">
        <v>10</v>
      </c>
      <c r="E18" s="130">
        <v>20</v>
      </c>
      <c r="F18" s="119" t="s">
        <v>658</v>
      </c>
      <c r="G18" s="147">
        <v>5.7770000000000001</v>
      </c>
      <c r="H18" s="128">
        <v>2.9000000000000001E-2</v>
      </c>
      <c r="I18" s="128">
        <f t="shared" si="0"/>
        <v>1.61E-2</v>
      </c>
      <c r="J18" s="128">
        <f t="shared" si="1"/>
        <v>3.7579999999999995E-2</v>
      </c>
      <c r="K18" s="128">
        <f t="shared" si="2"/>
        <v>6.658E-2</v>
      </c>
      <c r="L18" s="128">
        <f t="shared" si="3"/>
        <v>5.8435800000000002</v>
      </c>
      <c r="M18" s="469">
        <f t="shared" si="4"/>
        <v>29.032079999999997</v>
      </c>
      <c r="N18" s="469">
        <f t="shared" si="5"/>
        <v>29</v>
      </c>
      <c r="O18" s="469">
        <f t="shared" si="6"/>
        <v>29</v>
      </c>
      <c r="P18" s="487">
        <f t="shared" si="7"/>
        <v>29000</v>
      </c>
    </row>
    <row r="19" spans="1:16" ht="20.25" x14ac:dyDescent="0.3">
      <c r="A19" s="486">
        <v>11</v>
      </c>
      <c r="B19" s="129" t="s">
        <v>672</v>
      </c>
      <c r="C19" s="126" t="s">
        <v>673</v>
      </c>
      <c r="D19" s="130"/>
      <c r="E19" s="130">
        <v>20</v>
      </c>
      <c r="F19" s="119" t="s">
        <v>658</v>
      </c>
      <c r="G19" s="147">
        <v>7.84</v>
      </c>
      <c r="H19" s="128">
        <v>2.9000000000000001E-2</v>
      </c>
      <c r="I19" s="128">
        <f t="shared" si="0"/>
        <v>1.61E-2</v>
      </c>
      <c r="J19" s="128">
        <f t="shared" si="1"/>
        <v>3.7579999999999995E-2</v>
      </c>
      <c r="K19" s="128">
        <f t="shared" si="2"/>
        <v>6.658E-2</v>
      </c>
      <c r="L19" s="128">
        <f t="shared" si="3"/>
        <v>7.9065799999999999</v>
      </c>
      <c r="M19" s="469">
        <f t="shared" si="4"/>
        <v>39.347079999999998</v>
      </c>
      <c r="N19" s="469">
        <f t="shared" si="5"/>
        <v>39.299999999999997</v>
      </c>
      <c r="O19" s="469">
        <f t="shared" si="6"/>
        <v>39</v>
      </c>
      <c r="P19" s="487">
        <f t="shared" si="7"/>
        <v>39000</v>
      </c>
    </row>
    <row r="20" spans="1:16" ht="20.25" x14ac:dyDescent="0.3">
      <c r="A20" s="486">
        <v>12</v>
      </c>
      <c r="B20" s="129" t="s">
        <v>674</v>
      </c>
      <c r="C20" s="126" t="s">
        <v>667</v>
      </c>
      <c r="D20" s="130" t="s">
        <v>663</v>
      </c>
      <c r="E20" s="130">
        <v>5</v>
      </c>
      <c r="F20" s="119" t="s">
        <v>658</v>
      </c>
      <c r="G20" s="147">
        <v>164.35599999999999</v>
      </c>
      <c r="H20" s="128">
        <v>2.9000000000000001E-2</v>
      </c>
      <c r="I20" s="128">
        <f t="shared" si="0"/>
        <v>1.61E-2</v>
      </c>
      <c r="J20" s="128">
        <f t="shared" si="1"/>
        <v>3.7579999999999995E-2</v>
      </c>
      <c r="K20" s="128">
        <f t="shared" si="2"/>
        <v>6.658E-2</v>
      </c>
      <c r="L20" s="128">
        <f t="shared" si="3"/>
        <v>164.42257999999998</v>
      </c>
      <c r="M20" s="469">
        <f t="shared" si="4"/>
        <v>821.92708000000005</v>
      </c>
      <c r="N20" s="469">
        <f t="shared" si="5"/>
        <v>821.9</v>
      </c>
      <c r="O20" s="469">
        <f t="shared" si="6"/>
        <v>822</v>
      </c>
      <c r="P20" s="487">
        <f t="shared" si="7"/>
        <v>822000</v>
      </c>
    </row>
    <row r="21" spans="1:16" ht="20.25" x14ac:dyDescent="0.3">
      <c r="A21" s="486">
        <v>13</v>
      </c>
      <c r="B21" s="129" t="s">
        <v>675</v>
      </c>
      <c r="C21" s="126" t="s">
        <v>662</v>
      </c>
      <c r="D21" s="130"/>
      <c r="E21" s="130">
        <v>20</v>
      </c>
      <c r="F21" s="119" t="s">
        <v>658</v>
      </c>
      <c r="G21" s="147">
        <v>26</v>
      </c>
      <c r="H21" s="128">
        <v>2.9000000000000001E-2</v>
      </c>
      <c r="I21" s="128">
        <f t="shared" si="0"/>
        <v>1.61E-2</v>
      </c>
      <c r="J21" s="128">
        <f t="shared" si="1"/>
        <v>3.7579999999999995E-2</v>
      </c>
      <c r="K21" s="128">
        <f t="shared" si="2"/>
        <v>6.658E-2</v>
      </c>
      <c r="L21" s="128">
        <f t="shared" si="3"/>
        <v>26.066579999999998</v>
      </c>
      <c r="M21" s="469">
        <f t="shared" si="4"/>
        <v>130.14707999999999</v>
      </c>
      <c r="N21" s="469">
        <f t="shared" si="5"/>
        <v>130.1</v>
      </c>
      <c r="O21" s="469">
        <f t="shared" si="6"/>
        <v>130</v>
      </c>
      <c r="P21" s="487">
        <f t="shared" si="7"/>
        <v>130000</v>
      </c>
    </row>
    <row r="22" spans="1:16" ht="20.25" x14ac:dyDescent="0.3">
      <c r="A22" s="486">
        <v>14</v>
      </c>
      <c r="B22" s="129" t="s">
        <v>676</v>
      </c>
      <c r="C22" s="126" t="s">
        <v>667</v>
      </c>
      <c r="D22" s="130">
        <v>1</v>
      </c>
      <c r="E22" s="130">
        <v>20</v>
      </c>
      <c r="F22" s="119" t="s">
        <v>658</v>
      </c>
      <c r="G22" s="147">
        <v>26.608000000000001</v>
      </c>
      <c r="H22" s="128">
        <v>2.9000000000000001E-2</v>
      </c>
      <c r="I22" s="128">
        <f t="shared" si="0"/>
        <v>1.61E-2</v>
      </c>
      <c r="J22" s="128">
        <f t="shared" si="1"/>
        <v>3.7579999999999995E-2</v>
      </c>
      <c r="K22" s="128">
        <f t="shared" si="2"/>
        <v>6.658E-2</v>
      </c>
      <c r="L22" s="128">
        <f t="shared" si="3"/>
        <v>26.674579999999999</v>
      </c>
      <c r="M22" s="469">
        <f t="shared" si="4"/>
        <v>133.18708000000001</v>
      </c>
      <c r="N22" s="469">
        <f t="shared" si="5"/>
        <v>133.19999999999999</v>
      </c>
      <c r="O22" s="469">
        <f t="shared" si="6"/>
        <v>133</v>
      </c>
      <c r="P22" s="487">
        <f t="shared" si="7"/>
        <v>133000</v>
      </c>
    </row>
    <row r="23" spans="1:16" ht="20.25" x14ac:dyDescent="0.3">
      <c r="A23" s="486">
        <v>15</v>
      </c>
      <c r="B23" s="129" t="s">
        <v>677</v>
      </c>
      <c r="C23" s="126" t="s">
        <v>678</v>
      </c>
      <c r="D23" s="130">
        <v>5</v>
      </c>
      <c r="E23" s="130">
        <v>20</v>
      </c>
      <c r="F23" s="119" t="s">
        <v>658</v>
      </c>
      <c r="G23" s="147">
        <v>9.2810000000000006</v>
      </c>
      <c r="H23" s="128">
        <v>2.9000000000000001E-2</v>
      </c>
      <c r="I23" s="128">
        <f t="shared" si="0"/>
        <v>1.61E-2</v>
      </c>
      <c r="J23" s="128">
        <f t="shared" si="1"/>
        <v>3.7579999999999995E-2</v>
      </c>
      <c r="K23" s="128">
        <f t="shared" si="2"/>
        <v>6.658E-2</v>
      </c>
      <c r="L23" s="128">
        <f t="shared" si="3"/>
        <v>9.3475800000000007</v>
      </c>
      <c r="M23" s="469">
        <f t="shared" si="4"/>
        <v>46.552080000000004</v>
      </c>
      <c r="N23" s="469">
        <f t="shared" si="5"/>
        <v>46.6</v>
      </c>
      <c r="O23" s="469">
        <f t="shared" si="6"/>
        <v>47</v>
      </c>
      <c r="P23" s="487">
        <f t="shared" si="7"/>
        <v>47000</v>
      </c>
    </row>
    <row r="24" spans="1:16" ht="20.25" x14ac:dyDescent="0.3">
      <c r="A24" s="486">
        <v>16</v>
      </c>
      <c r="B24" s="129" t="s">
        <v>679</v>
      </c>
      <c r="C24" s="126" t="s">
        <v>662</v>
      </c>
      <c r="D24" s="130"/>
      <c r="E24" s="130">
        <v>12</v>
      </c>
      <c r="F24" s="119" t="s">
        <v>658</v>
      </c>
      <c r="G24" s="147">
        <v>58.83</v>
      </c>
      <c r="H24" s="128">
        <v>2.9000000000000001E-2</v>
      </c>
      <c r="I24" s="128">
        <f t="shared" si="0"/>
        <v>1.61E-2</v>
      </c>
      <c r="J24" s="128">
        <f t="shared" si="1"/>
        <v>3.7579999999999995E-2</v>
      </c>
      <c r="K24" s="128">
        <f t="shared" si="2"/>
        <v>6.658E-2</v>
      </c>
      <c r="L24" s="128">
        <f t="shared" si="3"/>
        <v>58.89658</v>
      </c>
      <c r="M24" s="469">
        <f t="shared" si="4"/>
        <v>294.29707999999999</v>
      </c>
      <c r="N24" s="469">
        <f t="shared" si="5"/>
        <v>294.3</v>
      </c>
      <c r="O24" s="469">
        <f t="shared" si="6"/>
        <v>294</v>
      </c>
      <c r="P24" s="487">
        <f t="shared" si="7"/>
        <v>294000</v>
      </c>
    </row>
    <row r="25" spans="1:16" ht="20.25" x14ac:dyDescent="0.3">
      <c r="A25" s="486">
        <v>17</v>
      </c>
      <c r="B25" s="129" t="s">
        <v>680</v>
      </c>
      <c r="C25" s="126" t="s">
        <v>667</v>
      </c>
      <c r="D25" s="130">
        <v>1</v>
      </c>
      <c r="E25" s="130">
        <v>12</v>
      </c>
      <c r="F25" s="119" t="s">
        <v>658</v>
      </c>
      <c r="G25" s="147">
        <v>31.547000000000001</v>
      </c>
      <c r="H25" s="128">
        <v>2.9000000000000001E-2</v>
      </c>
      <c r="I25" s="128">
        <f t="shared" si="0"/>
        <v>1.61E-2</v>
      </c>
      <c r="J25" s="128">
        <f t="shared" si="1"/>
        <v>3.7579999999999995E-2</v>
      </c>
      <c r="K25" s="128">
        <f t="shared" si="2"/>
        <v>6.658E-2</v>
      </c>
      <c r="L25" s="128">
        <f t="shared" si="3"/>
        <v>31.613579999999999</v>
      </c>
      <c r="M25" s="469">
        <f t="shared" si="4"/>
        <v>157.88208</v>
      </c>
      <c r="N25" s="469">
        <f t="shared" si="5"/>
        <v>157.9</v>
      </c>
      <c r="O25" s="469">
        <f t="shared" si="6"/>
        <v>158</v>
      </c>
      <c r="P25" s="487">
        <f t="shared" si="7"/>
        <v>158000</v>
      </c>
    </row>
    <row r="26" spans="1:16" ht="20.25" x14ac:dyDescent="0.3">
      <c r="A26" s="486">
        <v>18</v>
      </c>
      <c r="B26" s="129" t="s">
        <v>681</v>
      </c>
      <c r="C26" s="126" t="s">
        <v>667</v>
      </c>
      <c r="D26" s="130">
        <v>12</v>
      </c>
      <c r="E26" s="130"/>
      <c r="F26" s="119" t="s">
        <v>658</v>
      </c>
      <c r="G26" s="147">
        <v>108.211</v>
      </c>
      <c r="H26" s="128">
        <v>2.9000000000000001E-2</v>
      </c>
      <c r="I26" s="128">
        <f t="shared" si="0"/>
        <v>1.61E-2</v>
      </c>
      <c r="J26" s="128">
        <f t="shared" si="1"/>
        <v>3.7579999999999995E-2</v>
      </c>
      <c r="K26" s="128">
        <f t="shared" si="2"/>
        <v>6.658E-2</v>
      </c>
      <c r="L26" s="128">
        <f t="shared" si="3"/>
        <v>108.27758</v>
      </c>
      <c r="M26" s="469">
        <f t="shared" si="4"/>
        <v>541.20208000000002</v>
      </c>
      <c r="N26" s="469">
        <f t="shared" si="5"/>
        <v>541.20000000000005</v>
      </c>
      <c r="O26" s="469">
        <f t="shared" si="6"/>
        <v>541</v>
      </c>
      <c r="P26" s="487">
        <f t="shared" si="7"/>
        <v>541000</v>
      </c>
    </row>
    <row r="27" spans="1:16" ht="20.25" x14ac:dyDescent="0.3">
      <c r="A27" s="486">
        <v>19</v>
      </c>
      <c r="B27" s="129" t="s">
        <v>682</v>
      </c>
      <c r="C27" s="126" t="s">
        <v>678</v>
      </c>
      <c r="D27" s="130">
        <v>20</v>
      </c>
      <c r="E27" s="130"/>
      <c r="F27" s="119" t="s">
        <v>658</v>
      </c>
      <c r="G27" s="147">
        <v>47.473999999999997</v>
      </c>
      <c r="H27" s="128">
        <v>2.9000000000000001E-2</v>
      </c>
      <c r="I27" s="128">
        <f t="shared" si="0"/>
        <v>1.61E-2</v>
      </c>
      <c r="J27" s="128">
        <f t="shared" si="1"/>
        <v>3.7579999999999995E-2</v>
      </c>
      <c r="K27" s="128">
        <f t="shared" si="2"/>
        <v>6.658E-2</v>
      </c>
      <c r="L27" s="128">
        <f t="shared" si="3"/>
        <v>47.540579999999999</v>
      </c>
      <c r="M27" s="469">
        <f t="shared" si="4"/>
        <v>237.51707999999996</v>
      </c>
      <c r="N27" s="469">
        <f t="shared" si="5"/>
        <v>237.5</v>
      </c>
      <c r="O27" s="469">
        <f t="shared" si="6"/>
        <v>238</v>
      </c>
      <c r="P27" s="487">
        <f t="shared" si="7"/>
        <v>238000</v>
      </c>
    </row>
    <row r="28" spans="1:16" ht="20.25" x14ac:dyDescent="0.3">
      <c r="A28" s="486">
        <v>20</v>
      </c>
      <c r="B28" s="129" t="s">
        <v>683</v>
      </c>
      <c r="C28" s="126" t="s">
        <v>667</v>
      </c>
      <c r="D28" s="130" t="s">
        <v>684</v>
      </c>
      <c r="E28" s="147">
        <v>10.88</v>
      </c>
      <c r="F28" s="119" t="s">
        <v>658</v>
      </c>
      <c r="G28" s="147">
        <v>211.886</v>
      </c>
      <c r="H28" s="128">
        <v>2.9000000000000001E-2</v>
      </c>
      <c r="I28" s="128">
        <f t="shared" si="0"/>
        <v>1.61E-2</v>
      </c>
      <c r="J28" s="128">
        <f t="shared" si="1"/>
        <v>3.7579999999999995E-2</v>
      </c>
      <c r="K28" s="128">
        <f t="shared" si="2"/>
        <v>6.658E-2</v>
      </c>
      <c r="L28" s="128">
        <f t="shared" si="3"/>
        <v>211.95257999999998</v>
      </c>
      <c r="M28" s="469">
        <f t="shared" si="4"/>
        <v>1059.5770799999998</v>
      </c>
      <c r="N28" s="469">
        <f t="shared" si="5"/>
        <v>1059.5999999999999</v>
      </c>
      <c r="O28" s="469">
        <f t="shared" si="6"/>
        <v>1060</v>
      </c>
      <c r="P28" s="487">
        <f t="shared" si="7"/>
        <v>1060000</v>
      </c>
    </row>
    <row r="29" spans="1:16" ht="20.25" x14ac:dyDescent="0.3">
      <c r="A29" s="486">
        <v>21</v>
      </c>
      <c r="B29" s="129" t="s">
        <v>685</v>
      </c>
      <c r="C29" s="126" t="s">
        <v>667</v>
      </c>
      <c r="D29" s="130" t="s">
        <v>686</v>
      </c>
      <c r="E29" s="130">
        <v>10</v>
      </c>
      <c r="F29" s="119" t="s">
        <v>658</v>
      </c>
      <c r="G29" s="147">
        <v>20.254000000000001</v>
      </c>
      <c r="H29" s="128">
        <v>2.9000000000000001E-2</v>
      </c>
      <c r="I29" s="128">
        <f t="shared" si="0"/>
        <v>1.61E-2</v>
      </c>
      <c r="J29" s="128">
        <f t="shared" si="1"/>
        <v>3.7579999999999995E-2</v>
      </c>
      <c r="K29" s="128">
        <f t="shared" si="2"/>
        <v>6.658E-2</v>
      </c>
      <c r="L29" s="128">
        <f t="shared" si="3"/>
        <v>20.32058</v>
      </c>
      <c r="M29" s="469">
        <f t="shared" si="4"/>
        <v>101.41708000000001</v>
      </c>
      <c r="N29" s="469">
        <f t="shared" si="5"/>
        <v>101.4</v>
      </c>
      <c r="O29" s="469">
        <f t="shared" si="6"/>
        <v>101</v>
      </c>
      <c r="P29" s="487">
        <f t="shared" si="7"/>
        <v>101000</v>
      </c>
    </row>
    <row r="30" spans="1:16" ht="20.25" x14ac:dyDescent="0.3">
      <c r="A30" s="486">
        <v>22</v>
      </c>
      <c r="B30" s="129" t="s">
        <v>687</v>
      </c>
      <c r="C30" s="126" t="s">
        <v>660</v>
      </c>
      <c r="D30" s="130">
        <v>10</v>
      </c>
      <c r="E30" s="130"/>
      <c r="F30" s="119" t="s">
        <v>658</v>
      </c>
      <c r="G30" s="147">
        <v>8.9480000000000004</v>
      </c>
      <c r="H30" s="128">
        <v>2.9000000000000001E-2</v>
      </c>
      <c r="I30" s="128">
        <f t="shared" si="0"/>
        <v>1.61E-2</v>
      </c>
      <c r="J30" s="128">
        <f t="shared" si="1"/>
        <v>3.7579999999999995E-2</v>
      </c>
      <c r="K30" s="128">
        <f t="shared" si="2"/>
        <v>6.658E-2</v>
      </c>
      <c r="L30" s="128">
        <f t="shared" si="3"/>
        <v>9.0145800000000005</v>
      </c>
      <c r="M30" s="469">
        <f t="shared" si="4"/>
        <v>44.887080000000005</v>
      </c>
      <c r="N30" s="469">
        <f t="shared" si="5"/>
        <v>44.9</v>
      </c>
      <c r="O30" s="469">
        <f t="shared" si="6"/>
        <v>45</v>
      </c>
      <c r="P30" s="487">
        <f t="shared" si="7"/>
        <v>45000</v>
      </c>
    </row>
    <row r="31" spans="1:16" ht="20.25" x14ac:dyDescent="0.3">
      <c r="A31" s="486">
        <v>23</v>
      </c>
      <c r="B31" s="129" t="s">
        <v>688</v>
      </c>
      <c r="C31" s="126" t="s">
        <v>662</v>
      </c>
      <c r="D31" s="130">
        <v>5</v>
      </c>
      <c r="E31" s="130">
        <v>20</v>
      </c>
      <c r="F31" s="119" t="s">
        <v>658</v>
      </c>
      <c r="G31" s="147">
        <v>19.079999999999998</v>
      </c>
      <c r="H31" s="128">
        <v>2.9000000000000001E-2</v>
      </c>
      <c r="I31" s="128">
        <f t="shared" si="0"/>
        <v>1.61E-2</v>
      </c>
      <c r="J31" s="128">
        <f t="shared" si="1"/>
        <v>3.7579999999999995E-2</v>
      </c>
      <c r="K31" s="128">
        <f t="shared" si="2"/>
        <v>6.658E-2</v>
      </c>
      <c r="L31" s="128">
        <f t="shared" si="3"/>
        <v>19.146579999999997</v>
      </c>
      <c r="M31" s="469">
        <f t="shared" si="4"/>
        <v>95.547080000000008</v>
      </c>
      <c r="N31" s="469">
        <f t="shared" si="5"/>
        <v>95.5</v>
      </c>
      <c r="O31" s="469">
        <f t="shared" si="6"/>
        <v>96</v>
      </c>
      <c r="P31" s="487">
        <f t="shared" si="7"/>
        <v>96000</v>
      </c>
    </row>
    <row r="32" spans="1:16" ht="20.25" x14ac:dyDescent="0.3">
      <c r="A32" s="486">
        <v>24</v>
      </c>
      <c r="B32" s="129" t="s">
        <v>689</v>
      </c>
      <c r="C32" s="126" t="s">
        <v>690</v>
      </c>
      <c r="D32" s="130">
        <v>25</v>
      </c>
      <c r="E32" s="130"/>
      <c r="F32" s="119" t="s">
        <v>658</v>
      </c>
      <c r="G32" s="147">
        <v>2.6960000000000002</v>
      </c>
      <c r="H32" s="128">
        <v>2.9000000000000001E-2</v>
      </c>
      <c r="I32" s="128">
        <f t="shared" si="0"/>
        <v>1.61E-2</v>
      </c>
      <c r="J32" s="128">
        <f t="shared" si="1"/>
        <v>3.7579999999999995E-2</v>
      </c>
      <c r="K32" s="128">
        <f t="shared" si="2"/>
        <v>6.658E-2</v>
      </c>
      <c r="L32" s="128">
        <f t="shared" si="3"/>
        <v>2.7625800000000003</v>
      </c>
      <c r="M32" s="469">
        <f t="shared" si="4"/>
        <v>13.627079999999999</v>
      </c>
      <c r="N32" s="469">
        <f t="shared" si="5"/>
        <v>13.6</v>
      </c>
      <c r="O32" s="469">
        <f t="shared" si="6"/>
        <v>14</v>
      </c>
      <c r="P32" s="487">
        <f t="shared" si="7"/>
        <v>14000</v>
      </c>
    </row>
    <row r="33" spans="1:16" ht="20.25" x14ac:dyDescent="0.3">
      <c r="A33" s="486">
        <v>25</v>
      </c>
      <c r="B33" s="129" t="s">
        <v>691</v>
      </c>
      <c r="C33" s="126" t="s">
        <v>667</v>
      </c>
      <c r="D33" s="130">
        <v>1</v>
      </c>
      <c r="E33" s="130">
        <v>12</v>
      </c>
      <c r="F33" s="119" t="s">
        <v>658</v>
      </c>
      <c r="G33" s="147">
        <v>19.713000000000001</v>
      </c>
      <c r="H33" s="128">
        <v>2.9000000000000001E-2</v>
      </c>
      <c r="I33" s="128">
        <f t="shared" si="0"/>
        <v>1.61E-2</v>
      </c>
      <c r="J33" s="128">
        <f t="shared" si="1"/>
        <v>3.7579999999999995E-2</v>
      </c>
      <c r="K33" s="128">
        <f t="shared" si="2"/>
        <v>6.658E-2</v>
      </c>
      <c r="L33" s="128">
        <f t="shared" si="3"/>
        <v>19.779579999999999</v>
      </c>
      <c r="M33" s="469">
        <f t="shared" si="4"/>
        <v>98.712080000000014</v>
      </c>
      <c r="N33" s="469">
        <f t="shared" si="5"/>
        <v>98.7</v>
      </c>
      <c r="O33" s="469">
        <f t="shared" si="6"/>
        <v>99</v>
      </c>
      <c r="P33" s="487">
        <f t="shared" si="7"/>
        <v>99000</v>
      </c>
    </row>
    <row r="34" spans="1:16" ht="20.25" x14ac:dyDescent="0.3">
      <c r="A34" s="486">
        <v>26</v>
      </c>
      <c r="B34" s="129" t="s">
        <v>692</v>
      </c>
      <c r="C34" s="129" t="s">
        <v>657</v>
      </c>
      <c r="D34" s="130">
        <v>20</v>
      </c>
      <c r="E34" s="130"/>
      <c r="F34" s="119" t="s">
        <v>658</v>
      </c>
      <c r="G34" s="147">
        <v>5.3</v>
      </c>
      <c r="H34" s="128">
        <v>2.9000000000000001E-2</v>
      </c>
      <c r="I34" s="128">
        <f t="shared" si="0"/>
        <v>1.61E-2</v>
      </c>
      <c r="J34" s="128">
        <f t="shared" si="1"/>
        <v>3.7579999999999995E-2</v>
      </c>
      <c r="K34" s="128">
        <f t="shared" si="2"/>
        <v>6.658E-2</v>
      </c>
      <c r="L34" s="128">
        <f t="shared" si="3"/>
        <v>5.3665799999999999</v>
      </c>
      <c r="M34" s="469">
        <f t="shared" si="4"/>
        <v>26.647079999999995</v>
      </c>
      <c r="N34" s="469">
        <f t="shared" si="5"/>
        <v>26.6</v>
      </c>
      <c r="O34" s="469">
        <f t="shared" si="6"/>
        <v>27</v>
      </c>
      <c r="P34" s="487">
        <f t="shared" si="7"/>
        <v>27000</v>
      </c>
    </row>
    <row r="35" spans="1:16" ht="20.25" x14ac:dyDescent="0.3">
      <c r="A35" s="486">
        <v>27</v>
      </c>
      <c r="B35" s="129" t="s">
        <v>693</v>
      </c>
      <c r="C35" s="126" t="s">
        <v>662</v>
      </c>
      <c r="D35" s="130">
        <v>10</v>
      </c>
      <c r="E35" s="130">
        <v>10</v>
      </c>
      <c r="F35" s="119" t="s">
        <v>658</v>
      </c>
      <c r="G35" s="147">
        <v>30.21</v>
      </c>
      <c r="H35" s="128">
        <v>2.9000000000000001E-2</v>
      </c>
      <c r="I35" s="128">
        <f t="shared" si="0"/>
        <v>1.61E-2</v>
      </c>
      <c r="J35" s="128">
        <f t="shared" si="1"/>
        <v>3.7579999999999995E-2</v>
      </c>
      <c r="K35" s="128">
        <f t="shared" si="2"/>
        <v>6.658E-2</v>
      </c>
      <c r="L35" s="128">
        <f t="shared" si="3"/>
        <v>30.276579999999999</v>
      </c>
      <c r="M35" s="469">
        <f t="shared" si="4"/>
        <v>151.19708</v>
      </c>
      <c r="N35" s="469">
        <f t="shared" si="5"/>
        <v>151.19999999999999</v>
      </c>
      <c r="O35" s="469">
        <f t="shared" si="6"/>
        <v>151</v>
      </c>
      <c r="P35" s="487">
        <f t="shared" si="7"/>
        <v>151000</v>
      </c>
    </row>
    <row r="36" spans="1:16" ht="20.25" x14ac:dyDescent="0.3">
      <c r="A36" s="486">
        <v>28</v>
      </c>
      <c r="B36" s="129" t="s">
        <v>694</v>
      </c>
      <c r="C36" s="126" t="s">
        <v>678</v>
      </c>
      <c r="D36" s="130">
        <v>1</v>
      </c>
      <c r="E36" s="130">
        <v>10</v>
      </c>
      <c r="F36" s="119" t="s">
        <v>658</v>
      </c>
      <c r="G36" s="147">
        <v>37.512999999999998</v>
      </c>
      <c r="H36" s="128">
        <v>2.9000000000000001E-2</v>
      </c>
      <c r="I36" s="128">
        <f t="shared" si="0"/>
        <v>1.61E-2</v>
      </c>
      <c r="J36" s="128">
        <f t="shared" si="1"/>
        <v>3.7579999999999995E-2</v>
      </c>
      <c r="K36" s="128">
        <f t="shared" si="2"/>
        <v>6.658E-2</v>
      </c>
      <c r="L36" s="128">
        <f t="shared" si="3"/>
        <v>37.57958</v>
      </c>
      <c r="M36" s="469">
        <f t="shared" si="4"/>
        <v>187.71207999999999</v>
      </c>
      <c r="N36" s="469">
        <f t="shared" si="5"/>
        <v>187.7</v>
      </c>
      <c r="O36" s="469">
        <f t="shared" si="6"/>
        <v>188</v>
      </c>
      <c r="P36" s="487">
        <f t="shared" si="7"/>
        <v>188000</v>
      </c>
    </row>
    <row r="37" spans="1:16" ht="20.25" x14ac:dyDescent="0.3">
      <c r="A37" s="486">
        <v>29</v>
      </c>
      <c r="B37" s="129" t="s">
        <v>695</v>
      </c>
      <c r="C37" s="126" t="s">
        <v>678</v>
      </c>
      <c r="D37" s="130">
        <v>20</v>
      </c>
      <c r="E37" s="130"/>
      <c r="F37" s="119" t="s">
        <v>658</v>
      </c>
      <c r="G37" s="147">
        <v>5.8959999999999999</v>
      </c>
      <c r="H37" s="128">
        <v>2.9000000000000001E-2</v>
      </c>
      <c r="I37" s="128">
        <f t="shared" si="0"/>
        <v>1.61E-2</v>
      </c>
      <c r="J37" s="128">
        <f t="shared" si="1"/>
        <v>3.7579999999999995E-2</v>
      </c>
      <c r="K37" s="128">
        <f t="shared" si="2"/>
        <v>6.658E-2</v>
      </c>
      <c r="L37" s="128">
        <f t="shared" si="3"/>
        <v>5.96258</v>
      </c>
      <c r="M37" s="469">
        <f t="shared" si="4"/>
        <v>29.627079999999996</v>
      </c>
      <c r="N37" s="469">
        <f t="shared" si="5"/>
        <v>29.6</v>
      </c>
      <c r="O37" s="469">
        <f t="shared" si="6"/>
        <v>30</v>
      </c>
      <c r="P37" s="487">
        <f t="shared" si="7"/>
        <v>30000</v>
      </c>
    </row>
    <row r="38" spans="1:16" ht="20.25" x14ac:dyDescent="0.3">
      <c r="A38" s="486">
        <v>30</v>
      </c>
      <c r="B38" s="129" t="s">
        <v>696</v>
      </c>
      <c r="C38" s="129" t="s">
        <v>657</v>
      </c>
      <c r="D38" s="130">
        <v>20</v>
      </c>
      <c r="E38" s="130"/>
      <c r="F38" s="119" t="s">
        <v>658</v>
      </c>
      <c r="G38" s="147">
        <v>7.6</v>
      </c>
      <c r="H38" s="128">
        <v>2.9000000000000001E-2</v>
      </c>
      <c r="I38" s="128">
        <f t="shared" si="0"/>
        <v>1.61E-2</v>
      </c>
      <c r="J38" s="128">
        <f t="shared" si="1"/>
        <v>3.7579999999999995E-2</v>
      </c>
      <c r="K38" s="128">
        <f t="shared" si="2"/>
        <v>6.658E-2</v>
      </c>
      <c r="L38" s="128">
        <f t="shared" si="3"/>
        <v>7.6665799999999997</v>
      </c>
      <c r="M38" s="469">
        <f t="shared" si="4"/>
        <v>38.147080000000003</v>
      </c>
      <c r="N38" s="469">
        <f t="shared" si="5"/>
        <v>38.1</v>
      </c>
      <c r="O38" s="469">
        <f t="shared" si="6"/>
        <v>38</v>
      </c>
      <c r="P38" s="487">
        <f t="shared" si="7"/>
        <v>38000</v>
      </c>
    </row>
    <row r="39" spans="1:16" ht="20.25" x14ac:dyDescent="0.3">
      <c r="A39" s="486">
        <v>31</v>
      </c>
      <c r="B39" s="129" t="s">
        <v>697</v>
      </c>
      <c r="C39" s="126" t="s">
        <v>657</v>
      </c>
      <c r="D39" s="130">
        <v>20</v>
      </c>
      <c r="E39" s="130"/>
      <c r="F39" s="119" t="s">
        <v>658</v>
      </c>
      <c r="G39" s="147">
        <v>5.194</v>
      </c>
      <c r="H39" s="128">
        <v>2.9000000000000001E-2</v>
      </c>
      <c r="I39" s="128">
        <f t="shared" si="0"/>
        <v>1.61E-2</v>
      </c>
      <c r="J39" s="128">
        <f t="shared" si="1"/>
        <v>3.7579999999999995E-2</v>
      </c>
      <c r="K39" s="128">
        <f t="shared" si="2"/>
        <v>6.658E-2</v>
      </c>
      <c r="L39" s="128">
        <f t="shared" si="3"/>
        <v>5.26058</v>
      </c>
      <c r="M39" s="469">
        <f t="shared" si="4"/>
        <v>26.117079999999998</v>
      </c>
      <c r="N39" s="469">
        <f t="shared" si="5"/>
        <v>26.1</v>
      </c>
      <c r="O39" s="469">
        <f t="shared" si="6"/>
        <v>26</v>
      </c>
      <c r="P39" s="487">
        <f t="shared" si="7"/>
        <v>26000</v>
      </c>
    </row>
    <row r="40" spans="1:16" ht="20.25" x14ac:dyDescent="0.3">
      <c r="A40" s="486">
        <v>32</v>
      </c>
      <c r="B40" s="129" t="s">
        <v>698</v>
      </c>
      <c r="C40" s="126" t="s">
        <v>678</v>
      </c>
      <c r="D40" s="130">
        <v>20</v>
      </c>
      <c r="E40" s="130"/>
      <c r="F40" s="119" t="s">
        <v>658</v>
      </c>
      <c r="G40" s="147">
        <v>6.7279999999999998</v>
      </c>
      <c r="H40" s="128">
        <v>2.9000000000000001E-2</v>
      </c>
      <c r="I40" s="128">
        <f t="shared" si="0"/>
        <v>1.61E-2</v>
      </c>
      <c r="J40" s="128">
        <f t="shared" si="1"/>
        <v>3.7579999999999995E-2</v>
      </c>
      <c r="K40" s="128">
        <f t="shared" si="2"/>
        <v>6.658E-2</v>
      </c>
      <c r="L40" s="128">
        <f t="shared" si="3"/>
        <v>6.7945799999999998</v>
      </c>
      <c r="M40" s="469">
        <f t="shared" si="4"/>
        <v>33.787080000000003</v>
      </c>
      <c r="N40" s="469">
        <f t="shared" si="5"/>
        <v>33.799999999999997</v>
      </c>
      <c r="O40" s="469">
        <f t="shared" si="6"/>
        <v>34</v>
      </c>
      <c r="P40" s="487">
        <f t="shared" si="7"/>
        <v>34000</v>
      </c>
    </row>
    <row r="41" spans="1:16" ht="20.25" x14ac:dyDescent="0.3">
      <c r="A41" s="486">
        <v>33</v>
      </c>
      <c r="B41" s="129" t="s">
        <v>699</v>
      </c>
      <c r="C41" s="126" t="s">
        <v>667</v>
      </c>
      <c r="D41" s="130">
        <v>1</v>
      </c>
      <c r="E41" s="130">
        <v>20</v>
      </c>
      <c r="F41" s="119" t="s">
        <v>658</v>
      </c>
      <c r="G41" s="147">
        <v>21.35</v>
      </c>
      <c r="H41" s="128">
        <v>2.9000000000000001E-2</v>
      </c>
      <c r="I41" s="128">
        <f t="shared" ref="I41:I57" si="8">16.1/1000</f>
        <v>1.61E-2</v>
      </c>
      <c r="J41" s="128">
        <f t="shared" ref="J41:J57" si="9">(53.68-16.1)/1000</f>
        <v>3.7579999999999995E-2</v>
      </c>
      <c r="K41" s="128">
        <f t="shared" ref="K41:K57" si="10">H41+J41</f>
        <v>6.658E-2</v>
      </c>
      <c r="L41" s="128">
        <f t="shared" ref="L41:L57" si="11">G41+K41</f>
        <v>21.41658</v>
      </c>
      <c r="M41" s="469">
        <f t="shared" ref="M41:M57" si="12">(G41+I41)*5+K41</f>
        <v>106.89708000000002</v>
      </c>
      <c r="N41" s="469">
        <f t="shared" ref="N41:N57" si="13">ROUND(M41,1)</f>
        <v>106.9</v>
      </c>
      <c r="O41" s="469">
        <f t="shared" ref="O41:O57" si="14">ROUND(M41,0)</f>
        <v>107</v>
      </c>
      <c r="P41" s="487">
        <f t="shared" ref="P41:P57" si="15">O41*1000</f>
        <v>107000</v>
      </c>
    </row>
    <row r="42" spans="1:16" ht="20.25" x14ac:dyDescent="0.3">
      <c r="A42" s="486">
        <v>34</v>
      </c>
      <c r="B42" s="129" t="s">
        <v>700</v>
      </c>
      <c r="C42" s="129" t="s">
        <v>667</v>
      </c>
      <c r="D42" s="130">
        <v>1</v>
      </c>
      <c r="E42" s="130">
        <v>12</v>
      </c>
      <c r="F42" s="119" t="s">
        <v>658</v>
      </c>
      <c r="G42" s="147">
        <v>90.176000000000002</v>
      </c>
      <c r="H42" s="128">
        <v>2.9000000000000001E-2</v>
      </c>
      <c r="I42" s="128">
        <f t="shared" si="8"/>
        <v>1.61E-2</v>
      </c>
      <c r="J42" s="128">
        <f t="shared" si="9"/>
        <v>3.7579999999999995E-2</v>
      </c>
      <c r="K42" s="128">
        <f t="shared" si="10"/>
        <v>6.658E-2</v>
      </c>
      <c r="L42" s="128">
        <f t="shared" si="11"/>
        <v>90.242580000000004</v>
      </c>
      <c r="M42" s="469">
        <f t="shared" si="12"/>
        <v>451.02707999999996</v>
      </c>
      <c r="N42" s="469">
        <f t="shared" si="13"/>
        <v>451</v>
      </c>
      <c r="O42" s="469">
        <f t="shared" si="14"/>
        <v>451</v>
      </c>
      <c r="P42" s="487">
        <f t="shared" si="15"/>
        <v>451000</v>
      </c>
    </row>
    <row r="43" spans="1:16" ht="20.25" x14ac:dyDescent="0.3">
      <c r="A43" s="486">
        <v>35</v>
      </c>
      <c r="B43" s="129" t="s">
        <v>701</v>
      </c>
      <c r="C43" s="126" t="s">
        <v>667</v>
      </c>
      <c r="D43" s="130">
        <v>1</v>
      </c>
      <c r="E43" s="130">
        <v>20</v>
      </c>
      <c r="F43" s="119" t="s">
        <v>658</v>
      </c>
      <c r="G43" s="147">
        <v>27.745999999999999</v>
      </c>
      <c r="H43" s="128">
        <v>2.9000000000000001E-2</v>
      </c>
      <c r="I43" s="128">
        <f t="shared" si="8"/>
        <v>1.61E-2</v>
      </c>
      <c r="J43" s="128">
        <f t="shared" si="9"/>
        <v>3.7579999999999995E-2</v>
      </c>
      <c r="K43" s="128">
        <f t="shared" si="10"/>
        <v>6.658E-2</v>
      </c>
      <c r="L43" s="128">
        <f t="shared" si="11"/>
        <v>27.812579999999997</v>
      </c>
      <c r="M43" s="469">
        <f t="shared" si="12"/>
        <v>138.87707999999998</v>
      </c>
      <c r="N43" s="469">
        <f t="shared" si="13"/>
        <v>138.9</v>
      </c>
      <c r="O43" s="469">
        <f t="shared" si="14"/>
        <v>139</v>
      </c>
      <c r="P43" s="487">
        <f t="shared" si="15"/>
        <v>139000</v>
      </c>
    </row>
    <row r="44" spans="1:16" ht="20.25" x14ac:dyDescent="0.3">
      <c r="A44" s="486">
        <v>36</v>
      </c>
      <c r="B44" s="129" t="s">
        <v>702</v>
      </c>
      <c r="C44" s="126" t="s">
        <v>673</v>
      </c>
      <c r="D44" s="130">
        <v>20</v>
      </c>
      <c r="E44" s="130"/>
      <c r="F44" s="119" t="s">
        <v>658</v>
      </c>
      <c r="G44" s="147">
        <v>18.25</v>
      </c>
      <c r="H44" s="128">
        <v>2.9000000000000001E-2</v>
      </c>
      <c r="I44" s="128">
        <f t="shared" si="8"/>
        <v>1.61E-2</v>
      </c>
      <c r="J44" s="128">
        <f t="shared" si="9"/>
        <v>3.7579999999999995E-2</v>
      </c>
      <c r="K44" s="128">
        <f t="shared" si="10"/>
        <v>6.658E-2</v>
      </c>
      <c r="L44" s="128">
        <f t="shared" si="11"/>
        <v>18.316579999999998</v>
      </c>
      <c r="M44" s="469">
        <f t="shared" si="12"/>
        <v>91.397080000000003</v>
      </c>
      <c r="N44" s="469">
        <f t="shared" si="13"/>
        <v>91.4</v>
      </c>
      <c r="O44" s="469">
        <f t="shared" si="14"/>
        <v>91</v>
      </c>
      <c r="P44" s="487">
        <f t="shared" si="15"/>
        <v>91000</v>
      </c>
    </row>
    <row r="45" spans="1:16" ht="20.25" x14ac:dyDescent="0.3">
      <c r="A45" s="486">
        <v>37</v>
      </c>
      <c r="B45" s="129" t="s">
        <v>703</v>
      </c>
      <c r="C45" s="126" t="s">
        <v>667</v>
      </c>
      <c r="D45" s="130">
        <v>1</v>
      </c>
      <c r="E45" s="130">
        <v>12</v>
      </c>
      <c r="F45" s="119" t="s">
        <v>658</v>
      </c>
      <c r="G45" s="147">
        <v>74.915000000000006</v>
      </c>
      <c r="H45" s="128">
        <v>2.9000000000000001E-2</v>
      </c>
      <c r="I45" s="128">
        <f t="shared" si="8"/>
        <v>1.61E-2</v>
      </c>
      <c r="J45" s="128">
        <f t="shared" si="9"/>
        <v>3.7579999999999995E-2</v>
      </c>
      <c r="K45" s="128">
        <f t="shared" si="10"/>
        <v>6.658E-2</v>
      </c>
      <c r="L45" s="128">
        <f t="shared" si="11"/>
        <v>74.981580000000008</v>
      </c>
      <c r="M45" s="469">
        <f t="shared" si="12"/>
        <v>374.72208000000001</v>
      </c>
      <c r="N45" s="469">
        <f t="shared" si="13"/>
        <v>374.7</v>
      </c>
      <c r="O45" s="469">
        <f t="shared" si="14"/>
        <v>375</v>
      </c>
      <c r="P45" s="487">
        <f t="shared" si="15"/>
        <v>375000</v>
      </c>
    </row>
    <row r="46" spans="1:16" ht="20.25" x14ac:dyDescent="0.3">
      <c r="A46" s="486">
        <v>38</v>
      </c>
      <c r="B46" s="129" t="s">
        <v>704</v>
      </c>
      <c r="C46" s="126" t="s">
        <v>660</v>
      </c>
      <c r="D46" s="130">
        <v>20</v>
      </c>
      <c r="E46" s="130"/>
      <c r="F46" s="119" t="s">
        <v>658</v>
      </c>
      <c r="G46" s="147">
        <v>8.67</v>
      </c>
      <c r="H46" s="128">
        <v>2.9000000000000001E-2</v>
      </c>
      <c r="I46" s="128">
        <f t="shared" si="8"/>
        <v>1.61E-2</v>
      </c>
      <c r="J46" s="128">
        <f t="shared" si="9"/>
        <v>3.7579999999999995E-2</v>
      </c>
      <c r="K46" s="128">
        <f t="shared" si="10"/>
        <v>6.658E-2</v>
      </c>
      <c r="L46" s="128">
        <f t="shared" si="11"/>
        <v>8.73658</v>
      </c>
      <c r="M46" s="469">
        <f t="shared" si="12"/>
        <v>43.497079999999997</v>
      </c>
      <c r="N46" s="469">
        <f t="shared" si="13"/>
        <v>43.5</v>
      </c>
      <c r="O46" s="469">
        <f t="shared" si="14"/>
        <v>43</v>
      </c>
      <c r="P46" s="487">
        <f t="shared" si="15"/>
        <v>43000</v>
      </c>
    </row>
    <row r="47" spans="1:16" ht="20.25" x14ac:dyDescent="0.3">
      <c r="A47" s="486">
        <v>39</v>
      </c>
      <c r="B47" s="129" t="s">
        <v>705</v>
      </c>
      <c r="C47" s="126" t="s">
        <v>690</v>
      </c>
      <c r="D47" s="130">
        <v>1</v>
      </c>
      <c r="E47" s="130">
        <v>10</v>
      </c>
      <c r="F47" s="119" t="s">
        <v>658</v>
      </c>
      <c r="G47" s="147">
        <v>118.10299999999999</v>
      </c>
      <c r="H47" s="128">
        <v>2.9000000000000001E-2</v>
      </c>
      <c r="I47" s="128">
        <f t="shared" si="8"/>
        <v>1.61E-2</v>
      </c>
      <c r="J47" s="128">
        <f t="shared" si="9"/>
        <v>3.7579999999999995E-2</v>
      </c>
      <c r="K47" s="128">
        <f t="shared" si="10"/>
        <v>6.658E-2</v>
      </c>
      <c r="L47" s="128">
        <f t="shared" si="11"/>
        <v>118.16958</v>
      </c>
      <c r="M47" s="469">
        <f t="shared" si="12"/>
        <v>590.66207999999995</v>
      </c>
      <c r="N47" s="469">
        <f t="shared" si="13"/>
        <v>590.70000000000005</v>
      </c>
      <c r="O47" s="469">
        <f t="shared" si="14"/>
        <v>591</v>
      </c>
      <c r="P47" s="487">
        <f t="shared" si="15"/>
        <v>591000</v>
      </c>
    </row>
    <row r="48" spans="1:16" ht="20.25" x14ac:dyDescent="0.3">
      <c r="A48" s="486">
        <v>40</v>
      </c>
      <c r="B48" s="129" t="s">
        <v>706</v>
      </c>
      <c r="C48" s="129" t="s">
        <v>667</v>
      </c>
      <c r="D48" s="130">
        <v>1</v>
      </c>
      <c r="E48" s="130">
        <v>12</v>
      </c>
      <c r="F48" s="119" t="s">
        <v>658</v>
      </c>
      <c r="G48" s="147">
        <v>78.840999999999994</v>
      </c>
      <c r="H48" s="128">
        <v>2.9000000000000001E-2</v>
      </c>
      <c r="I48" s="128">
        <f t="shared" si="8"/>
        <v>1.61E-2</v>
      </c>
      <c r="J48" s="128">
        <f t="shared" si="9"/>
        <v>3.7579999999999995E-2</v>
      </c>
      <c r="K48" s="128">
        <f t="shared" si="10"/>
        <v>6.658E-2</v>
      </c>
      <c r="L48" s="128">
        <f t="shared" si="11"/>
        <v>78.907579999999996</v>
      </c>
      <c r="M48" s="469">
        <f t="shared" si="12"/>
        <v>394.35207999999994</v>
      </c>
      <c r="N48" s="469">
        <f t="shared" si="13"/>
        <v>394.4</v>
      </c>
      <c r="O48" s="469">
        <f t="shared" si="14"/>
        <v>394</v>
      </c>
      <c r="P48" s="487">
        <f t="shared" si="15"/>
        <v>394000</v>
      </c>
    </row>
    <row r="49" spans="1:16" ht="20.25" x14ac:dyDescent="0.3">
      <c r="A49" s="486">
        <v>41</v>
      </c>
      <c r="B49" s="129" t="s">
        <v>707</v>
      </c>
      <c r="C49" s="126" t="s">
        <v>662</v>
      </c>
      <c r="D49" s="130">
        <v>5</v>
      </c>
      <c r="E49" s="130">
        <v>20</v>
      </c>
      <c r="F49" s="119" t="s">
        <v>658</v>
      </c>
      <c r="G49" s="147">
        <v>56.71</v>
      </c>
      <c r="H49" s="128">
        <v>2.9000000000000001E-2</v>
      </c>
      <c r="I49" s="128">
        <f t="shared" si="8"/>
        <v>1.61E-2</v>
      </c>
      <c r="J49" s="128">
        <f t="shared" si="9"/>
        <v>3.7579999999999995E-2</v>
      </c>
      <c r="K49" s="128">
        <f t="shared" si="10"/>
        <v>6.658E-2</v>
      </c>
      <c r="L49" s="128">
        <f t="shared" si="11"/>
        <v>56.776580000000003</v>
      </c>
      <c r="M49" s="469">
        <f t="shared" si="12"/>
        <v>283.69707999999997</v>
      </c>
      <c r="N49" s="469">
        <f t="shared" si="13"/>
        <v>283.7</v>
      </c>
      <c r="O49" s="469">
        <f t="shared" si="14"/>
        <v>284</v>
      </c>
      <c r="P49" s="487">
        <f t="shared" si="15"/>
        <v>284000</v>
      </c>
    </row>
    <row r="50" spans="1:16" ht="20.25" x14ac:dyDescent="0.3">
      <c r="A50" s="486">
        <v>42</v>
      </c>
      <c r="B50" s="129" t="s">
        <v>708</v>
      </c>
      <c r="C50" s="126" t="s">
        <v>662</v>
      </c>
      <c r="D50" s="130">
        <v>12</v>
      </c>
      <c r="E50" s="130"/>
      <c r="F50" s="119" t="s">
        <v>658</v>
      </c>
      <c r="G50" s="147">
        <v>56.18</v>
      </c>
      <c r="H50" s="128">
        <v>2.9000000000000001E-2</v>
      </c>
      <c r="I50" s="128">
        <f t="shared" si="8"/>
        <v>1.61E-2</v>
      </c>
      <c r="J50" s="128">
        <f t="shared" si="9"/>
        <v>3.7579999999999995E-2</v>
      </c>
      <c r="K50" s="128">
        <f t="shared" si="10"/>
        <v>6.658E-2</v>
      </c>
      <c r="L50" s="128">
        <f t="shared" si="11"/>
        <v>56.246580000000002</v>
      </c>
      <c r="M50" s="469">
        <f t="shared" si="12"/>
        <v>281.04707999999999</v>
      </c>
      <c r="N50" s="469">
        <f t="shared" si="13"/>
        <v>281</v>
      </c>
      <c r="O50" s="469">
        <f t="shared" si="14"/>
        <v>281</v>
      </c>
      <c r="P50" s="487">
        <f t="shared" si="15"/>
        <v>281000</v>
      </c>
    </row>
    <row r="51" spans="1:16" ht="20.25" x14ac:dyDescent="0.3">
      <c r="A51" s="486">
        <v>43</v>
      </c>
      <c r="B51" s="129" t="s">
        <v>709</v>
      </c>
      <c r="C51" s="126" t="s">
        <v>678</v>
      </c>
      <c r="D51" s="130">
        <v>12</v>
      </c>
      <c r="E51" s="130"/>
      <c r="F51" s="119" t="s">
        <v>658</v>
      </c>
      <c r="G51" s="147">
        <v>33.295000000000002</v>
      </c>
      <c r="H51" s="128">
        <v>2.9000000000000001E-2</v>
      </c>
      <c r="I51" s="128">
        <f t="shared" si="8"/>
        <v>1.61E-2</v>
      </c>
      <c r="J51" s="128">
        <f t="shared" si="9"/>
        <v>3.7579999999999995E-2</v>
      </c>
      <c r="K51" s="128">
        <f t="shared" si="10"/>
        <v>6.658E-2</v>
      </c>
      <c r="L51" s="128">
        <f t="shared" si="11"/>
        <v>33.361580000000004</v>
      </c>
      <c r="M51" s="469">
        <f t="shared" si="12"/>
        <v>166.62208000000001</v>
      </c>
      <c r="N51" s="469">
        <f t="shared" si="13"/>
        <v>166.6</v>
      </c>
      <c r="O51" s="469">
        <f t="shared" si="14"/>
        <v>167</v>
      </c>
      <c r="P51" s="487">
        <f t="shared" si="15"/>
        <v>167000</v>
      </c>
    </row>
    <row r="52" spans="1:16" ht="20.25" x14ac:dyDescent="0.3">
      <c r="A52" s="486">
        <v>44</v>
      </c>
      <c r="B52" s="129" t="s">
        <v>710</v>
      </c>
      <c r="C52" s="126" t="s">
        <v>660</v>
      </c>
      <c r="D52" s="130">
        <v>200</v>
      </c>
      <c r="E52" s="130"/>
      <c r="F52" s="119" t="s">
        <v>658</v>
      </c>
      <c r="G52" s="147">
        <v>7.1440000000000001</v>
      </c>
      <c r="H52" s="128">
        <v>2.9000000000000001E-2</v>
      </c>
      <c r="I52" s="128">
        <f t="shared" si="8"/>
        <v>1.61E-2</v>
      </c>
      <c r="J52" s="128">
        <f t="shared" si="9"/>
        <v>3.7579999999999995E-2</v>
      </c>
      <c r="K52" s="128">
        <f t="shared" si="10"/>
        <v>6.658E-2</v>
      </c>
      <c r="L52" s="128">
        <f t="shared" si="11"/>
        <v>7.2105800000000002</v>
      </c>
      <c r="M52" s="469">
        <f t="shared" si="12"/>
        <v>35.867080000000001</v>
      </c>
      <c r="N52" s="469">
        <f t="shared" si="13"/>
        <v>35.9</v>
      </c>
      <c r="O52" s="469">
        <f t="shared" si="14"/>
        <v>36</v>
      </c>
      <c r="P52" s="487">
        <f t="shared" si="15"/>
        <v>36000</v>
      </c>
    </row>
    <row r="53" spans="1:16" ht="20.25" x14ac:dyDescent="0.3">
      <c r="A53" s="486">
        <v>45</v>
      </c>
      <c r="B53" s="129" t="s">
        <v>711</v>
      </c>
      <c r="C53" s="126" t="s">
        <v>678</v>
      </c>
      <c r="D53" s="130">
        <v>1</v>
      </c>
      <c r="E53" s="130">
        <v>12</v>
      </c>
      <c r="F53" s="119" t="s">
        <v>658</v>
      </c>
      <c r="G53" s="147">
        <v>24.638000000000002</v>
      </c>
      <c r="H53" s="128">
        <v>2.9000000000000001E-2</v>
      </c>
      <c r="I53" s="128">
        <f t="shared" si="8"/>
        <v>1.61E-2</v>
      </c>
      <c r="J53" s="128">
        <f t="shared" si="9"/>
        <v>3.7579999999999995E-2</v>
      </c>
      <c r="K53" s="128">
        <f t="shared" si="10"/>
        <v>6.658E-2</v>
      </c>
      <c r="L53" s="128">
        <f t="shared" si="11"/>
        <v>24.70458</v>
      </c>
      <c r="M53" s="469">
        <f t="shared" si="12"/>
        <v>123.33708000000001</v>
      </c>
      <c r="N53" s="469">
        <f t="shared" si="13"/>
        <v>123.3</v>
      </c>
      <c r="O53" s="469">
        <f t="shared" si="14"/>
        <v>123</v>
      </c>
      <c r="P53" s="487">
        <f t="shared" si="15"/>
        <v>123000</v>
      </c>
    </row>
    <row r="54" spans="1:16" ht="20.25" x14ac:dyDescent="0.3">
      <c r="A54" s="486">
        <v>46</v>
      </c>
      <c r="B54" s="129" t="s">
        <v>712</v>
      </c>
      <c r="C54" s="126" t="s">
        <v>657</v>
      </c>
      <c r="D54" s="130">
        <v>10</v>
      </c>
      <c r="E54" s="130"/>
      <c r="F54" s="119" t="s">
        <v>658</v>
      </c>
      <c r="G54" s="147">
        <v>7.95</v>
      </c>
      <c r="H54" s="128">
        <v>2.9000000000000001E-2</v>
      </c>
      <c r="I54" s="128">
        <f t="shared" si="8"/>
        <v>1.61E-2</v>
      </c>
      <c r="J54" s="128">
        <f t="shared" si="9"/>
        <v>3.7579999999999995E-2</v>
      </c>
      <c r="K54" s="128">
        <f t="shared" si="10"/>
        <v>6.658E-2</v>
      </c>
      <c r="L54" s="128">
        <f t="shared" si="11"/>
        <v>8.0165799999999994</v>
      </c>
      <c r="M54" s="469">
        <f t="shared" si="12"/>
        <v>39.897080000000003</v>
      </c>
      <c r="N54" s="469">
        <f t="shared" si="13"/>
        <v>39.9</v>
      </c>
      <c r="O54" s="469">
        <f t="shared" si="14"/>
        <v>40</v>
      </c>
      <c r="P54" s="487">
        <f t="shared" si="15"/>
        <v>40000</v>
      </c>
    </row>
    <row r="55" spans="1:16" ht="20.25" x14ac:dyDescent="0.3">
      <c r="A55" s="486">
        <v>47</v>
      </c>
      <c r="B55" s="129" t="s">
        <v>713</v>
      </c>
      <c r="C55" s="126" t="s">
        <v>678</v>
      </c>
      <c r="D55" s="130">
        <v>20</v>
      </c>
      <c r="E55" s="130"/>
      <c r="F55" s="119" t="s">
        <v>658</v>
      </c>
      <c r="G55" s="147">
        <v>5.5490000000000004</v>
      </c>
      <c r="H55" s="128">
        <v>2.9000000000000001E-2</v>
      </c>
      <c r="I55" s="128">
        <f t="shared" si="8"/>
        <v>1.61E-2</v>
      </c>
      <c r="J55" s="128">
        <f t="shared" si="9"/>
        <v>3.7579999999999995E-2</v>
      </c>
      <c r="K55" s="128">
        <f t="shared" si="10"/>
        <v>6.658E-2</v>
      </c>
      <c r="L55" s="128">
        <f t="shared" si="11"/>
        <v>5.6155800000000005</v>
      </c>
      <c r="M55" s="469">
        <f t="shared" si="12"/>
        <v>27.89208</v>
      </c>
      <c r="N55" s="469">
        <f t="shared" si="13"/>
        <v>27.9</v>
      </c>
      <c r="O55" s="469">
        <f t="shared" si="14"/>
        <v>28</v>
      </c>
      <c r="P55" s="487">
        <f t="shared" si="15"/>
        <v>28000</v>
      </c>
    </row>
    <row r="56" spans="1:16" ht="20.25" x14ac:dyDescent="0.3">
      <c r="A56" s="486">
        <v>48</v>
      </c>
      <c r="B56" s="129" t="s">
        <v>714</v>
      </c>
      <c r="C56" s="126" t="s">
        <v>662</v>
      </c>
      <c r="D56" s="130">
        <v>20</v>
      </c>
      <c r="E56" s="130"/>
      <c r="F56" s="119" t="s">
        <v>658</v>
      </c>
      <c r="G56" s="147">
        <v>2.65</v>
      </c>
      <c r="H56" s="128">
        <v>2.9000000000000001E-2</v>
      </c>
      <c r="I56" s="128">
        <f t="shared" si="8"/>
        <v>1.61E-2</v>
      </c>
      <c r="J56" s="128">
        <f t="shared" si="9"/>
        <v>3.7579999999999995E-2</v>
      </c>
      <c r="K56" s="128">
        <f t="shared" si="10"/>
        <v>6.658E-2</v>
      </c>
      <c r="L56" s="128">
        <f t="shared" si="11"/>
        <v>2.71658</v>
      </c>
      <c r="M56" s="469">
        <f t="shared" si="12"/>
        <v>13.397079999999999</v>
      </c>
      <c r="N56" s="469">
        <f t="shared" si="13"/>
        <v>13.4</v>
      </c>
      <c r="O56" s="469">
        <f t="shared" si="14"/>
        <v>13</v>
      </c>
      <c r="P56" s="487">
        <f t="shared" si="15"/>
        <v>13000</v>
      </c>
    </row>
    <row r="57" spans="1:16" ht="21" thickBot="1" x14ac:dyDescent="0.35">
      <c r="A57" s="488">
        <v>49</v>
      </c>
      <c r="B57" s="132" t="s">
        <v>715</v>
      </c>
      <c r="C57" s="133" t="s">
        <v>660</v>
      </c>
      <c r="D57" s="134">
        <v>5</v>
      </c>
      <c r="E57" s="134">
        <v>20</v>
      </c>
      <c r="F57" s="118" t="s">
        <v>658</v>
      </c>
      <c r="G57" s="489">
        <v>9.1560000000000006</v>
      </c>
      <c r="H57" s="135">
        <v>2.9000000000000001E-2</v>
      </c>
      <c r="I57" s="135">
        <f t="shared" si="8"/>
        <v>1.61E-2</v>
      </c>
      <c r="J57" s="135">
        <f t="shared" si="9"/>
        <v>3.7579999999999995E-2</v>
      </c>
      <c r="K57" s="135">
        <f t="shared" si="10"/>
        <v>6.658E-2</v>
      </c>
      <c r="L57" s="135">
        <f t="shared" si="11"/>
        <v>9.2225800000000007</v>
      </c>
      <c r="M57" s="490">
        <f t="shared" si="12"/>
        <v>45.927080000000004</v>
      </c>
      <c r="N57" s="490">
        <f t="shared" si="13"/>
        <v>45.9</v>
      </c>
      <c r="O57" s="490">
        <f t="shared" si="14"/>
        <v>46</v>
      </c>
      <c r="P57" s="491">
        <f t="shared" si="15"/>
        <v>46000</v>
      </c>
    </row>
    <row r="58" spans="1:16" ht="21" thickBot="1" x14ac:dyDescent="0.35">
      <c r="A58" s="492"/>
      <c r="B58" s="136" t="s">
        <v>716</v>
      </c>
      <c r="C58" s="137"/>
      <c r="D58" s="138"/>
      <c r="E58" s="138"/>
      <c r="F58" s="139"/>
      <c r="G58" s="140"/>
      <c r="H58" s="140"/>
      <c r="I58" s="140"/>
      <c r="J58" s="140"/>
      <c r="K58" s="140"/>
      <c r="L58" s="140"/>
      <c r="M58" s="493"/>
      <c r="N58" s="493"/>
      <c r="O58" s="494"/>
      <c r="P58" s="495"/>
    </row>
    <row r="59" spans="1:16" ht="20.25" x14ac:dyDescent="0.3">
      <c r="A59" s="496">
        <v>50</v>
      </c>
      <c r="B59" s="141" t="s">
        <v>717</v>
      </c>
      <c r="C59" s="142" t="s">
        <v>690</v>
      </c>
      <c r="D59" s="143">
        <v>1</v>
      </c>
      <c r="E59" s="143">
        <v>10</v>
      </c>
      <c r="F59" s="120" t="s">
        <v>658</v>
      </c>
      <c r="G59" s="497">
        <v>18.257000000000001</v>
      </c>
      <c r="H59" s="144">
        <v>2.9000000000000001E-2</v>
      </c>
      <c r="I59" s="144">
        <f t="shared" ref="I59:I90" si="16">16.1/1000</f>
        <v>1.61E-2</v>
      </c>
      <c r="J59" s="144">
        <f t="shared" ref="J59:J90" si="17">(53.68-16.1)/1000</f>
        <v>3.7579999999999995E-2</v>
      </c>
      <c r="K59" s="144">
        <f t="shared" ref="K59:K90" si="18">H59+J59</f>
        <v>6.658E-2</v>
      </c>
      <c r="L59" s="144">
        <f t="shared" ref="L59:L90" si="19">G59+K59</f>
        <v>18.32358</v>
      </c>
      <c r="M59" s="498">
        <f t="shared" ref="M59:M90" si="20">(G59+I59)*5+K59</f>
        <v>91.432080000000013</v>
      </c>
      <c r="N59" s="498">
        <f t="shared" ref="N59:N90" si="21">ROUND(M59,1)</f>
        <v>91.4</v>
      </c>
      <c r="O59" s="498">
        <f t="shared" ref="O59:O90" si="22">ROUND(M59,0)</f>
        <v>91</v>
      </c>
      <c r="P59" s="499">
        <f t="shared" ref="P59:P90" si="23">O59*1000</f>
        <v>91000</v>
      </c>
    </row>
    <row r="60" spans="1:16" ht="20.25" x14ac:dyDescent="0.3">
      <c r="A60" s="486">
        <v>51</v>
      </c>
      <c r="B60" s="129" t="s">
        <v>718</v>
      </c>
      <c r="C60" s="126" t="s">
        <v>667</v>
      </c>
      <c r="D60" s="130">
        <v>1</v>
      </c>
      <c r="E60" s="130">
        <v>10</v>
      </c>
      <c r="F60" s="119" t="s">
        <v>658</v>
      </c>
      <c r="G60" s="147">
        <v>17.785</v>
      </c>
      <c r="H60" s="128">
        <v>2.9000000000000001E-2</v>
      </c>
      <c r="I60" s="128">
        <f t="shared" si="16"/>
        <v>1.61E-2</v>
      </c>
      <c r="J60" s="128">
        <f t="shared" si="17"/>
        <v>3.7579999999999995E-2</v>
      </c>
      <c r="K60" s="128">
        <f t="shared" si="18"/>
        <v>6.658E-2</v>
      </c>
      <c r="L60" s="128">
        <f t="shared" si="19"/>
        <v>17.851579999999998</v>
      </c>
      <c r="M60" s="469">
        <f t="shared" si="20"/>
        <v>89.072080000000014</v>
      </c>
      <c r="N60" s="469">
        <f t="shared" si="21"/>
        <v>89.1</v>
      </c>
      <c r="O60" s="469">
        <f t="shared" si="22"/>
        <v>89</v>
      </c>
      <c r="P60" s="487">
        <f t="shared" si="23"/>
        <v>89000</v>
      </c>
    </row>
    <row r="61" spans="1:16" ht="20.25" x14ac:dyDescent="0.3">
      <c r="A61" s="486">
        <v>52</v>
      </c>
      <c r="B61" s="129" t="s">
        <v>719</v>
      </c>
      <c r="C61" s="126" t="s">
        <v>662</v>
      </c>
      <c r="D61" s="130">
        <v>5</v>
      </c>
      <c r="E61" s="130">
        <v>20</v>
      </c>
      <c r="F61" s="119" t="s">
        <v>658</v>
      </c>
      <c r="G61" s="147">
        <v>57.77</v>
      </c>
      <c r="H61" s="128">
        <v>2.9000000000000001E-2</v>
      </c>
      <c r="I61" s="128">
        <f t="shared" si="16"/>
        <v>1.61E-2</v>
      </c>
      <c r="J61" s="128">
        <f t="shared" si="17"/>
        <v>3.7579999999999995E-2</v>
      </c>
      <c r="K61" s="128">
        <f t="shared" si="18"/>
        <v>6.658E-2</v>
      </c>
      <c r="L61" s="128">
        <f t="shared" si="19"/>
        <v>57.836580000000005</v>
      </c>
      <c r="M61" s="469">
        <f t="shared" si="20"/>
        <v>288.99708000000004</v>
      </c>
      <c r="N61" s="469">
        <f t="shared" si="21"/>
        <v>289</v>
      </c>
      <c r="O61" s="469">
        <f t="shared" si="22"/>
        <v>289</v>
      </c>
      <c r="P61" s="487">
        <f t="shared" si="23"/>
        <v>289000</v>
      </c>
    </row>
    <row r="62" spans="1:16" ht="20.25" x14ac:dyDescent="0.3">
      <c r="A62" s="486">
        <v>53</v>
      </c>
      <c r="B62" s="129" t="s">
        <v>720</v>
      </c>
      <c r="C62" s="126" t="s">
        <v>662</v>
      </c>
      <c r="D62" s="130">
        <v>5</v>
      </c>
      <c r="E62" s="130">
        <v>20</v>
      </c>
      <c r="F62" s="119" t="s">
        <v>658</v>
      </c>
      <c r="G62" s="147">
        <v>65.72</v>
      </c>
      <c r="H62" s="128">
        <v>2.9000000000000001E-2</v>
      </c>
      <c r="I62" s="128">
        <f t="shared" si="16"/>
        <v>1.61E-2</v>
      </c>
      <c r="J62" s="128">
        <f t="shared" si="17"/>
        <v>3.7579999999999995E-2</v>
      </c>
      <c r="K62" s="128">
        <f t="shared" si="18"/>
        <v>6.658E-2</v>
      </c>
      <c r="L62" s="128">
        <f t="shared" si="19"/>
        <v>65.786580000000001</v>
      </c>
      <c r="M62" s="469">
        <f t="shared" si="20"/>
        <v>328.74707999999993</v>
      </c>
      <c r="N62" s="469">
        <f t="shared" si="21"/>
        <v>328.7</v>
      </c>
      <c r="O62" s="469">
        <f t="shared" si="22"/>
        <v>329</v>
      </c>
      <c r="P62" s="487">
        <f t="shared" si="23"/>
        <v>329000</v>
      </c>
    </row>
    <row r="63" spans="1:16" ht="20.25" x14ac:dyDescent="0.3">
      <c r="A63" s="486">
        <v>54</v>
      </c>
      <c r="B63" s="129" t="s">
        <v>721</v>
      </c>
      <c r="C63" s="126" t="s">
        <v>667</v>
      </c>
      <c r="D63" s="130">
        <v>25</v>
      </c>
      <c r="E63" s="130"/>
      <c r="F63" s="119" t="s">
        <v>658</v>
      </c>
      <c r="G63" s="147">
        <v>8.3230000000000004</v>
      </c>
      <c r="H63" s="128">
        <v>2.9000000000000001E-2</v>
      </c>
      <c r="I63" s="128">
        <f t="shared" si="16"/>
        <v>1.61E-2</v>
      </c>
      <c r="J63" s="128">
        <f t="shared" si="17"/>
        <v>3.7579999999999995E-2</v>
      </c>
      <c r="K63" s="128">
        <f t="shared" si="18"/>
        <v>6.658E-2</v>
      </c>
      <c r="L63" s="128">
        <f t="shared" si="19"/>
        <v>8.3895800000000005</v>
      </c>
      <c r="M63" s="469">
        <f t="shared" si="20"/>
        <v>41.762080000000005</v>
      </c>
      <c r="N63" s="469">
        <f t="shared" si="21"/>
        <v>41.8</v>
      </c>
      <c r="O63" s="469">
        <f t="shared" si="22"/>
        <v>42</v>
      </c>
      <c r="P63" s="487">
        <f t="shared" si="23"/>
        <v>42000</v>
      </c>
    </row>
    <row r="64" spans="1:16" ht="20.25" x14ac:dyDescent="0.3">
      <c r="A64" s="486">
        <v>55</v>
      </c>
      <c r="B64" s="129" t="s">
        <v>722</v>
      </c>
      <c r="C64" s="129" t="s">
        <v>667</v>
      </c>
      <c r="D64" s="130">
        <v>10</v>
      </c>
      <c r="E64" s="130"/>
      <c r="F64" s="119" t="s">
        <v>658</v>
      </c>
      <c r="G64" s="147">
        <v>3.2869999999999999</v>
      </c>
      <c r="H64" s="128">
        <v>2.9000000000000001E-2</v>
      </c>
      <c r="I64" s="128">
        <f t="shared" si="16"/>
        <v>1.61E-2</v>
      </c>
      <c r="J64" s="128">
        <f t="shared" si="17"/>
        <v>3.7579999999999995E-2</v>
      </c>
      <c r="K64" s="128">
        <f t="shared" si="18"/>
        <v>6.658E-2</v>
      </c>
      <c r="L64" s="128">
        <f t="shared" si="19"/>
        <v>3.35358</v>
      </c>
      <c r="M64" s="469">
        <f t="shared" si="20"/>
        <v>16.582079999999998</v>
      </c>
      <c r="N64" s="469">
        <f t="shared" si="21"/>
        <v>16.600000000000001</v>
      </c>
      <c r="O64" s="469">
        <f t="shared" si="22"/>
        <v>17</v>
      </c>
      <c r="P64" s="487">
        <f t="shared" si="23"/>
        <v>17000</v>
      </c>
    </row>
    <row r="65" spans="1:16" ht="20.25" x14ac:dyDescent="0.3">
      <c r="A65" s="486">
        <v>56</v>
      </c>
      <c r="B65" s="129" t="s">
        <v>723</v>
      </c>
      <c r="C65" s="126" t="s">
        <v>724</v>
      </c>
      <c r="D65" s="130">
        <v>12</v>
      </c>
      <c r="E65" s="130"/>
      <c r="F65" s="119" t="s">
        <v>658</v>
      </c>
      <c r="G65" s="147">
        <v>15.69</v>
      </c>
      <c r="H65" s="128">
        <v>2.9000000000000001E-2</v>
      </c>
      <c r="I65" s="128">
        <f t="shared" si="16"/>
        <v>1.61E-2</v>
      </c>
      <c r="J65" s="128">
        <f t="shared" si="17"/>
        <v>3.7579999999999995E-2</v>
      </c>
      <c r="K65" s="128">
        <f t="shared" si="18"/>
        <v>6.658E-2</v>
      </c>
      <c r="L65" s="128">
        <f t="shared" si="19"/>
        <v>15.75658</v>
      </c>
      <c r="M65" s="469">
        <f t="shared" si="20"/>
        <v>78.597079999999991</v>
      </c>
      <c r="N65" s="469">
        <f t="shared" si="21"/>
        <v>78.599999999999994</v>
      </c>
      <c r="O65" s="469">
        <f t="shared" si="22"/>
        <v>79</v>
      </c>
      <c r="P65" s="487">
        <f t="shared" si="23"/>
        <v>79000</v>
      </c>
    </row>
    <row r="66" spans="1:16" ht="20.25" x14ac:dyDescent="0.3">
      <c r="A66" s="486">
        <v>57</v>
      </c>
      <c r="B66" s="129" t="s">
        <v>725</v>
      </c>
      <c r="C66" s="126" t="s">
        <v>690</v>
      </c>
      <c r="D66" s="130">
        <v>50</v>
      </c>
      <c r="E66" s="130"/>
      <c r="F66" s="119" t="s">
        <v>658</v>
      </c>
      <c r="G66" s="147">
        <v>23.279</v>
      </c>
      <c r="H66" s="128">
        <v>2.9000000000000001E-2</v>
      </c>
      <c r="I66" s="128">
        <f t="shared" si="16"/>
        <v>1.61E-2</v>
      </c>
      <c r="J66" s="128">
        <f t="shared" si="17"/>
        <v>3.7579999999999995E-2</v>
      </c>
      <c r="K66" s="128">
        <f t="shared" si="18"/>
        <v>6.658E-2</v>
      </c>
      <c r="L66" s="128">
        <f t="shared" si="19"/>
        <v>23.345579999999998</v>
      </c>
      <c r="M66" s="469">
        <f t="shared" si="20"/>
        <v>116.54208000000001</v>
      </c>
      <c r="N66" s="469">
        <f t="shared" si="21"/>
        <v>116.5</v>
      </c>
      <c r="O66" s="469">
        <f t="shared" si="22"/>
        <v>117</v>
      </c>
      <c r="P66" s="487">
        <f t="shared" si="23"/>
        <v>117000</v>
      </c>
    </row>
    <row r="67" spans="1:16" ht="20.25" x14ac:dyDescent="0.3">
      <c r="A67" s="486">
        <v>58</v>
      </c>
      <c r="B67" s="129" t="s">
        <v>726</v>
      </c>
      <c r="C67" s="126" t="s">
        <v>727</v>
      </c>
      <c r="D67" s="130">
        <v>10</v>
      </c>
      <c r="E67" s="130">
        <v>20</v>
      </c>
      <c r="F67" s="119" t="s">
        <v>658</v>
      </c>
      <c r="G67" s="147">
        <v>6.52</v>
      </c>
      <c r="H67" s="128">
        <v>2.9000000000000001E-2</v>
      </c>
      <c r="I67" s="128">
        <f t="shared" si="16"/>
        <v>1.61E-2</v>
      </c>
      <c r="J67" s="128">
        <f t="shared" si="17"/>
        <v>3.7579999999999995E-2</v>
      </c>
      <c r="K67" s="128">
        <f t="shared" si="18"/>
        <v>6.658E-2</v>
      </c>
      <c r="L67" s="128">
        <f t="shared" si="19"/>
        <v>6.5865799999999997</v>
      </c>
      <c r="M67" s="469">
        <f t="shared" si="20"/>
        <v>32.747079999999997</v>
      </c>
      <c r="N67" s="469">
        <f t="shared" si="21"/>
        <v>32.700000000000003</v>
      </c>
      <c r="O67" s="469">
        <f t="shared" si="22"/>
        <v>33</v>
      </c>
      <c r="P67" s="487">
        <f t="shared" si="23"/>
        <v>33000</v>
      </c>
    </row>
    <row r="68" spans="1:16" ht="20.25" x14ac:dyDescent="0.3">
      <c r="A68" s="486">
        <v>59</v>
      </c>
      <c r="B68" s="129" t="s">
        <v>728</v>
      </c>
      <c r="C68" s="126" t="s">
        <v>660</v>
      </c>
      <c r="D68" s="130">
        <v>10</v>
      </c>
      <c r="E68" s="130"/>
      <c r="F68" s="119" t="s">
        <v>658</v>
      </c>
      <c r="G68" s="147">
        <v>9.1280000000000001</v>
      </c>
      <c r="H68" s="128">
        <v>2.9000000000000001E-2</v>
      </c>
      <c r="I68" s="128">
        <f t="shared" si="16"/>
        <v>1.61E-2</v>
      </c>
      <c r="J68" s="128">
        <f t="shared" si="17"/>
        <v>3.7579999999999995E-2</v>
      </c>
      <c r="K68" s="128">
        <f t="shared" si="18"/>
        <v>6.658E-2</v>
      </c>
      <c r="L68" s="128">
        <f t="shared" si="19"/>
        <v>9.1945800000000002</v>
      </c>
      <c r="M68" s="469">
        <f t="shared" si="20"/>
        <v>45.787080000000003</v>
      </c>
      <c r="N68" s="469">
        <f t="shared" si="21"/>
        <v>45.8</v>
      </c>
      <c r="O68" s="469">
        <f t="shared" si="22"/>
        <v>46</v>
      </c>
      <c r="P68" s="487">
        <f t="shared" si="23"/>
        <v>46000</v>
      </c>
    </row>
    <row r="69" spans="1:16" ht="20.25" x14ac:dyDescent="0.3">
      <c r="A69" s="486">
        <v>60</v>
      </c>
      <c r="B69" s="129" t="s">
        <v>729</v>
      </c>
      <c r="C69" s="126" t="s">
        <v>727</v>
      </c>
      <c r="D69" s="130">
        <v>10</v>
      </c>
      <c r="E69" s="130"/>
      <c r="F69" s="119" t="s">
        <v>658</v>
      </c>
      <c r="G69" s="147">
        <v>6.242</v>
      </c>
      <c r="H69" s="128">
        <v>2.9000000000000001E-2</v>
      </c>
      <c r="I69" s="128">
        <f t="shared" si="16"/>
        <v>1.61E-2</v>
      </c>
      <c r="J69" s="128">
        <f t="shared" si="17"/>
        <v>3.7579999999999995E-2</v>
      </c>
      <c r="K69" s="128">
        <f t="shared" si="18"/>
        <v>6.658E-2</v>
      </c>
      <c r="L69" s="128">
        <f t="shared" si="19"/>
        <v>6.3085800000000001</v>
      </c>
      <c r="M69" s="469">
        <f t="shared" si="20"/>
        <v>31.357079999999996</v>
      </c>
      <c r="N69" s="469">
        <f t="shared" si="21"/>
        <v>31.4</v>
      </c>
      <c r="O69" s="469">
        <f t="shared" si="22"/>
        <v>31</v>
      </c>
      <c r="P69" s="487">
        <f t="shared" si="23"/>
        <v>31000</v>
      </c>
    </row>
    <row r="70" spans="1:16" ht="20.25" x14ac:dyDescent="0.3">
      <c r="A70" s="486">
        <v>61</v>
      </c>
      <c r="B70" s="129" t="s">
        <v>730</v>
      </c>
      <c r="C70" s="126" t="s">
        <v>657</v>
      </c>
      <c r="D70" s="130">
        <v>10</v>
      </c>
      <c r="E70" s="130">
        <v>20</v>
      </c>
      <c r="F70" s="119" t="s">
        <v>658</v>
      </c>
      <c r="G70" s="147">
        <v>11.872</v>
      </c>
      <c r="H70" s="128">
        <v>2.9000000000000001E-2</v>
      </c>
      <c r="I70" s="128">
        <f t="shared" si="16"/>
        <v>1.61E-2</v>
      </c>
      <c r="J70" s="128">
        <f t="shared" si="17"/>
        <v>3.7579999999999995E-2</v>
      </c>
      <c r="K70" s="128">
        <f t="shared" si="18"/>
        <v>6.658E-2</v>
      </c>
      <c r="L70" s="128">
        <f t="shared" si="19"/>
        <v>11.93858</v>
      </c>
      <c r="M70" s="469">
        <f t="shared" si="20"/>
        <v>59.507080000000002</v>
      </c>
      <c r="N70" s="469">
        <f t="shared" si="21"/>
        <v>59.5</v>
      </c>
      <c r="O70" s="469">
        <f t="shared" si="22"/>
        <v>60</v>
      </c>
      <c r="P70" s="487">
        <f t="shared" si="23"/>
        <v>60000</v>
      </c>
    </row>
    <row r="71" spans="1:16" ht="20.25" x14ac:dyDescent="0.3">
      <c r="A71" s="486">
        <v>62</v>
      </c>
      <c r="B71" s="129" t="s">
        <v>731</v>
      </c>
      <c r="C71" s="126" t="s">
        <v>727</v>
      </c>
      <c r="D71" s="130">
        <v>1</v>
      </c>
      <c r="E71" s="130">
        <v>10</v>
      </c>
      <c r="F71" s="119" t="s">
        <v>658</v>
      </c>
      <c r="G71" s="147">
        <v>12.763</v>
      </c>
      <c r="H71" s="128">
        <v>2.9000000000000001E-2</v>
      </c>
      <c r="I71" s="128">
        <f t="shared" si="16"/>
        <v>1.61E-2</v>
      </c>
      <c r="J71" s="128">
        <f t="shared" si="17"/>
        <v>3.7579999999999995E-2</v>
      </c>
      <c r="K71" s="128">
        <f t="shared" si="18"/>
        <v>6.658E-2</v>
      </c>
      <c r="L71" s="128">
        <f t="shared" si="19"/>
        <v>12.82958</v>
      </c>
      <c r="M71" s="469">
        <f t="shared" si="20"/>
        <v>63.96208</v>
      </c>
      <c r="N71" s="469">
        <f t="shared" si="21"/>
        <v>64</v>
      </c>
      <c r="O71" s="469">
        <f t="shared" si="22"/>
        <v>64</v>
      </c>
      <c r="P71" s="487">
        <f t="shared" si="23"/>
        <v>64000</v>
      </c>
    </row>
    <row r="72" spans="1:16" ht="20.25" x14ac:dyDescent="0.3">
      <c r="A72" s="486">
        <v>63</v>
      </c>
      <c r="B72" s="500" t="s">
        <v>732</v>
      </c>
      <c r="C72" s="500"/>
      <c r="D72" s="501"/>
      <c r="E72" s="501"/>
      <c r="F72" s="502" t="s">
        <v>638</v>
      </c>
      <c r="G72" s="503">
        <v>8.65</v>
      </c>
      <c r="H72" s="128">
        <v>2.9000000000000001E-2</v>
      </c>
      <c r="I72" s="128">
        <f t="shared" si="16"/>
        <v>1.61E-2</v>
      </c>
      <c r="J72" s="128">
        <f t="shared" si="17"/>
        <v>3.7579999999999995E-2</v>
      </c>
      <c r="K72" s="128">
        <f t="shared" si="18"/>
        <v>6.658E-2</v>
      </c>
      <c r="L72" s="128">
        <f t="shared" si="19"/>
        <v>8.7165800000000004</v>
      </c>
      <c r="M72" s="469">
        <f t="shared" si="20"/>
        <v>43.397080000000003</v>
      </c>
      <c r="N72" s="469">
        <f t="shared" si="21"/>
        <v>43.4</v>
      </c>
      <c r="O72" s="469">
        <f t="shared" si="22"/>
        <v>43</v>
      </c>
      <c r="P72" s="487">
        <f t="shared" si="23"/>
        <v>43000</v>
      </c>
    </row>
    <row r="73" spans="1:16" ht="20.25" x14ac:dyDescent="0.3">
      <c r="A73" s="486">
        <v>63</v>
      </c>
      <c r="B73" s="129" t="s">
        <v>733</v>
      </c>
      <c r="C73" s="126" t="s">
        <v>727</v>
      </c>
      <c r="D73" s="130">
        <v>10</v>
      </c>
      <c r="E73" s="130">
        <v>20</v>
      </c>
      <c r="F73" s="119" t="s">
        <v>658</v>
      </c>
      <c r="G73" s="147">
        <v>17.616</v>
      </c>
      <c r="H73" s="128">
        <v>2.9000000000000001E-2</v>
      </c>
      <c r="I73" s="128">
        <f t="shared" si="16"/>
        <v>1.61E-2</v>
      </c>
      <c r="J73" s="128">
        <f t="shared" si="17"/>
        <v>3.7579999999999995E-2</v>
      </c>
      <c r="K73" s="128">
        <f t="shared" si="18"/>
        <v>6.658E-2</v>
      </c>
      <c r="L73" s="128">
        <f t="shared" si="19"/>
        <v>17.682579999999998</v>
      </c>
      <c r="M73" s="469">
        <f t="shared" si="20"/>
        <v>88.227080000000015</v>
      </c>
      <c r="N73" s="469">
        <f t="shared" si="21"/>
        <v>88.2</v>
      </c>
      <c r="O73" s="469">
        <f t="shared" si="22"/>
        <v>88</v>
      </c>
      <c r="P73" s="487">
        <f t="shared" si="23"/>
        <v>88000</v>
      </c>
    </row>
    <row r="74" spans="1:16" ht="20.25" x14ac:dyDescent="0.3">
      <c r="A74" s="486">
        <v>64</v>
      </c>
      <c r="B74" s="129" t="s">
        <v>734</v>
      </c>
      <c r="C74" s="126" t="s">
        <v>678</v>
      </c>
      <c r="D74" s="130">
        <v>20</v>
      </c>
      <c r="E74" s="130"/>
      <c r="F74" s="119" t="s">
        <v>658</v>
      </c>
      <c r="G74" s="147">
        <v>9.4890000000000008</v>
      </c>
      <c r="H74" s="128">
        <v>2.9000000000000001E-2</v>
      </c>
      <c r="I74" s="128">
        <f t="shared" si="16"/>
        <v>1.61E-2</v>
      </c>
      <c r="J74" s="128">
        <f t="shared" si="17"/>
        <v>3.7579999999999995E-2</v>
      </c>
      <c r="K74" s="128">
        <f t="shared" si="18"/>
        <v>6.658E-2</v>
      </c>
      <c r="L74" s="128">
        <f t="shared" si="19"/>
        <v>9.5555800000000009</v>
      </c>
      <c r="M74" s="469">
        <f t="shared" si="20"/>
        <v>47.592080000000003</v>
      </c>
      <c r="N74" s="469">
        <f t="shared" si="21"/>
        <v>47.6</v>
      </c>
      <c r="O74" s="469">
        <f t="shared" si="22"/>
        <v>48</v>
      </c>
      <c r="P74" s="487">
        <f t="shared" si="23"/>
        <v>48000</v>
      </c>
    </row>
    <row r="75" spans="1:16" ht="20.25" x14ac:dyDescent="0.3">
      <c r="A75" s="486">
        <v>65</v>
      </c>
      <c r="B75" s="129" t="s">
        <v>735</v>
      </c>
      <c r="C75" s="126" t="s">
        <v>667</v>
      </c>
      <c r="D75" s="130">
        <v>1</v>
      </c>
      <c r="E75" s="130">
        <v>12</v>
      </c>
      <c r="F75" s="119" t="s">
        <v>658</v>
      </c>
      <c r="G75" s="147">
        <v>31.213999999999999</v>
      </c>
      <c r="H75" s="128">
        <v>2.9000000000000001E-2</v>
      </c>
      <c r="I75" s="128">
        <f t="shared" si="16"/>
        <v>1.61E-2</v>
      </c>
      <c r="J75" s="128">
        <f t="shared" si="17"/>
        <v>3.7579999999999995E-2</v>
      </c>
      <c r="K75" s="128">
        <f t="shared" si="18"/>
        <v>6.658E-2</v>
      </c>
      <c r="L75" s="128">
        <f t="shared" si="19"/>
        <v>31.280579999999997</v>
      </c>
      <c r="M75" s="469">
        <f t="shared" si="20"/>
        <v>156.21707999999998</v>
      </c>
      <c r="N75" s="469">
        <f t="shared" si="21"/>
        <v>156.19999999999999</v>
      </c>
      <c r="O75" s="469">
        <f t="shared" si="22"/>
        <v>156</v>
      </c>
      <c r="P75" s="487">
        <f t="shared" si="23"/>
        <v>156000</v>
      </c>
    </row>
    <row r="76" spans="1:16" ht="20.25" x14ac:dyDescent="0.3">
      <c r="A76" s="486">
        <v>66</v>
      </c>
      <c r="B76" s="129" t="s">
        <v>736</v>
      </c>
      <c r="C76" s="126" t="s">
        <v>690</v>
      </c>
      <c r="D76" s="130">
        <v>10</v>
      </c>
      <c r="E76" s="130">
        <v>20</v>
      </c>
      <c r="F76" s="119" t="s">
        <v>658</v>
      </c>
      <c r="G76" s="147">
        <v>30.326000000000001</v>
      </c>
      <c r="H76" s="128">
        <v>2.9000000000000001E-2</v>
      </c>
      <c r="I76" s="128">
        <f t="shared" si="16"/>
        <v>1.61E-2</v>
      </c>
      <c r="J76" s="128">
        <f t="shared" si="17"/>
        <v>3.7579999999999995E-2</v>
      </c>
      <c r="K76" s="128">
        <f t="shared" si="18"/>
        <v>6.658E-2</v>
      </c>
      <c r="L76" s="128">
        <f t="shared" si="19"/>
        <v>30.392579999999999</v>
      </c>
      <c r="M76" s="469">
        <f t="shared" si="20"/>
        <v>151.77708000000001</v>
      </c>
      <c r="N76" s="469">
        <f t="shared" si="21"/>
        <v>151.80000000000001</v>
      </c>
      <c r="O76" s="469">
        <f t="shared" si="22"/>
        <v>152</v>
      </c>
      <c r="P76" s="487">
        <f t="shared" si="23"/>
        <v>152000</v>
      </c>
    </row>
    <row r="77" spans="1:16" ht="20.25" x14ac:dyDescent="0.3">
      <c r="A77" s="486">
        <v>67</v>
      </c>
      <c r="B77" s="129" t="s">
        <v>737</v>
      </c>
      <c r="C77" s="126" t="s">
        <v>724</v>
      </c>
      <c r="D77" s="130">
        <v>25</v>
      </c>
      <c r="E77" s="130"/>
      <c r="F77" s="119" t="s">
        <v>658</v>
      </c>
      <c r="G77" s="147">
        <v>4.2690000000000001</v>
      </c>
      <c r="H77" s="128">
        <v>2.9000000000000001E-2</v>
      </c>
      <c r="I77" s="128">
        <f t="shared" si="16"/>
        <v>1.61E-2</v>
      </c>
      <c r="J77" s="128">
        <f t="shared" si="17"/>
        <v>3.7579999999999995E-2</v>
      </c>
      <c r="K77" s="128">
        <f t="shared" si="18"/>
        <v>6.658E-2</v>
      </c>
      <c r="L77" s="128">
        <f t="shared" si="19"/>
        <v>4.3355800000000002</v>
      </c>
      <c r="M77" s="469">
        <f t="shared" si="20"/>
        <v>21.492079999999998</v>
      </c>
      <c r="N77" s="469">
        <f t="shared" si="21"/>
        <v>21.5</v>
      </c>
      <c r="O77" s="469">
        <f t="shared" si="22"/>
        <v>21</v>
      </c>
      <c r="P77" s="487">
        <f t="shared" si="23"/>
        <v>21000</v>
      </c>
    </row>
    <row r="78" spans="1:16" ht="20.25" x14ac:dyDescent="0.3">
      <c r="A78" s="486">
        <v>68</v>
      </c>
      <c r="B78" s="129" t="s">
        <v>738</v>
      </c>
      <c r="C78" s="126" t="s">
        <v>678</v>
      </c>
      <c r="D78" s="130">
        <v>20</v>
      </c>
      <c r="E78" s="130"/>
      <c r="F78" s="119" t="s">
        <v>658</v>
      </c>
      <c r="G78" s="147">
        <v>8.4209999999999994</v>
      </c>
      <c r="H78" s="128">
        <v>2.9000000000000001E-2</v>
      </c>
      <c r="I78" s="128">
        <f t="shared" si="16"/>
        <v>1.61E-2</v>
      </c>
      <c r="J78" s="128">
        <f t="shared" si="17"/>
        <v>3.7579999999999995E-2</v>
      </c>
      <c r="K78" s="128">
        <f t="shared" si="18"/>
        <v>6.658E-2</v>
      </c>
      <c r="L78" s="128">
        <f t="shared" si="19"/>
        <v>8.4875799999999995</v>
      </c>
      <c r="M78" s="469">
        <f t="shared" si="20"/>
        <v>42.252079999999999</v>
      </c>
      <c r="N78" s="469">
        <f t="shared" si="21"/>
        <v>42.3</v>
      </c>
      <c r="O78" s="469">
        <f t="shared" si="22"/>
        <v>42</v>
      </c>
      <c r="P78" s="487">
        <f t="shared" si="23"/>
        <v>42000</v>
      </c>
    </row>
    <row r="79" spans="1:16" ht="20.25" x14ac:dyDescent="0.3">
      <c r="A79" s="486">
        <v>69</v>
      </c>
      <c r="B79" s="129" t="s">
        <v>739</v>
      </c>
      <c r="C79" s="126" t="s">
        <v>678</v>
      </c>
      <c r="D79" s="130">
        <v>10</v>
      </c>
      <c r="E79" s="130">
        <v>20</v>
      </c>
      <c r="F79" s="119" t="s">
        <v>658</v>
      </c>
      <c r="G79" s="147">
        <v>18.379000000000001</v>
      </c>
      <c r="H79" s="128">
        <v>2.9000000000000001E-2</v>
      </c>
      <c r="I79" s="128">
        <f t="shared" si="16"/>
        <v>1.61E-2</v>
      </c>
      <c r="J79" s="128">
        <f t="shared" si="17"/>
        <v>3.7579999999999995E-2</v>
      </c>
      <c r="K79" s="128">
        <f t="shared" si="18"/>
        <v>6.658E-2</v>
      </c>
      <c r="L79" s="128">
        <f t="shared" si="19"/>
        <v>18.44558</v>
      </c>
      <c r="M79" s="469">
        <f t="shared" si="20"/>
        <v>92.042080000000013</v>
      </c>
      <c r="N79" s="469">
        <f t="shared" si="21"/>
        <v>92</v>
      </c>
      <c r="O79" s="469">
        <f t="shared" si="22"/>
        <v>92</v>
      </c>
      <c r="P79" s="487">
        <f t="shared" si="23"/>
        <v>92000</v>
      </c>
    </row>
    <row r="80" spans="1:16" ht="20.25" x14ac:dyDescent="0.3">
      <c r="A80" s="486">
        <v>70</v>
      </c>
      <c r="B80" s="129" t="s">
        <v>740</v>
      </c>
      <c r="C80" s="126" t="s">
        <v>678</v>
      </c>
      <c r="D80" s="130">
        <v>1</v>
      </c>
      <c r="E80" s="130">
        <v>12</v>
      </c>
      <c r="F80" s="119" t="s">
        <v>658</v>
      </c>
      <c r="G80" s="147">
        <v>24.873999999999999</v>
      </c>
      <c r="H80" s="128">
        <v>2.9000000000000001E-2</v>
      </c>
      <c r="I80" s="128">
        <f t="shared" si="16"/>
        <v>1.61E-2</v>
      </c>
      <c r="J80" s="128">
        <f t="shared" si="17"/>
        <v>3.7579999999999995E-2</v>
      </c>
      <c r="K80" s="128">
        <f t="shared" si="18"/>
        <v>6.658E-2</v>
      </c>
      <c r="L80" s="128">
        <f t="shared" si="19"/>
        <v>24.940579999999997</v>
      </c>
      <c r="M80" s="469">
        <f t="shared" si="20"/>
        <v>124.51708000000001</v>
      </c>
      <c r="N80" s="469">
        <f t="shared" si="21"/>
        <v>124.5</v>
      </c>
      <c r="O80" s="469">
        <f t="shared" si="22"/>
        <v>125</v>
      </c>
      <c r="P80" s="487">
        <f t="shared" si="23"/>
        <v>125000</v>
      </c>
    </row>
    <row r="81" spans="1:16" ht="20.25" x14ac:dyDescent="0.3">
      <c r="A81" s="486">
        <v>71</v>
      </c>
      <c r="B81" s="129" t="s">
        <v>741</v>
      </c>
      <c r="C81" s="126" t="s">
        <v>667</v>
      </c>
      <c r="D81" s="131">
        <v>0.5</v>
      </c>
      <c r="E81" s="131">
        <v>12.5</v>
      </c>
      <c r="F81" s="119" t="s">
        <v>658</v>
      </c>
      <c r="G81" s="147">
        <v>14.095000000000001</v>
      </c>
      <c r="H81" s="128">
        <v>2.9000000000000001E-2</v>
      </c>
      <c r="I81" s="128">
        <f t="shared" si="16"/>
        <v>1.61E-2</v>
      </c>
      <c r="J81" s="128">
        <f t="shared" si="17"/>
        <v>3.7579999999999995E-2</v>
      </c>
      <c r="K81" s="128">
        <f t="shared" si="18"/>
        <v>6.658E-2</v>
      </c>
      <c r="L81" s="128">
        <f t="shared" si="19"/>
        <v>14.161580000000001</v>
      </c>
      <c r="M81" s="469">
        <f t="shared" si="20"/>
        <v>70.622079999999997</v>
      </c>
      <c r="N81" s="469">
        <f t="shared" si="21"/>
        <v>70.599999999999994</v>
      </c>
      <c r="O81" s="469">
        <f t="shared" si="22"/>
        <v>71</v>
      </c>
      <c r="P81" s="487">
        <f t="shared" si="23"/>
        <v>71000</v>
      </c>
    </row>
    <row r="82" spans="1:16" ht="20.25" x14ac:dyDescent="0.3">
      <c r="A82" s="486">
        <v>72</v>
      </c>
      <c r="B82" s="129" t="s">
        <v>742</v>
      </c>
      <c r="C82" s="126" t="s">
        <v>667</v>
      </c>
      <c r="D82" s="130">
        <v>1</v>
      </c>
      <c r="E82" s="130">
        <v>12</v>
      </c>
      <c r="F82" s="119" t="s">
        <v>658</v>
      </c>
      <c r="G82" s="147">
        <v>32.226999999999997</v>
      </c>
      <c r="H82" s="128">
        <v>2.9000000000000001E-2</v>
      </c>
      <c r="I82" s="128">
        <f t="shared" si="16"/>
        <v>1.61E-2</v>
      </c>
      <c r="J82" s="128">
        <f t="shared" si="17"/>
        <v>3.7579999999999995E-2</v>
      </c>
      <c r="K82" s="128">
        <f t="shared" si="18"/>
        <v>6.658E-2</v>
      </c>
      <c r="L82" s="128">
        <f t="shared" si="19"/>
        <v>32.293579999999999</v>
      </c>
      <c r="M82" s="469">
        <f t="shared" si="20"/>
        <v>161.28207999999998</v>
      </c>
      <c r="N82" s="469">
        <f t="shared" si="21"/>
        <v>161.30000000000001</v>
      </c>
      <c r="O82" s="469">
        <f t="shared" si="22"/>
        <v>161</v>
      </c>
      <c r="P82" s="487">
        <f t="shared" si="23"/>
        <v>161000</v>
      </c>
    </row>
    <row r="83" spans="1:16" ht="20.25" x14ac:dyDescent="0.3">
      <c r="A83" s="486">
        <v>73</v>
      </c>
      <c r="B83" s="129" t="s">
        <v>743</v>
      </c>
      <c r="C83" s="126" t="s">
        <v>662</v>
      </c>
      <c r="D83" s="130">
        <v>1</v>
      </c>
      <c r="E83" s="130">
        <v>10</v>
      </c>
      <c r="F83" s="119" t="s">
        <v>658</v>
      </c>
      <c r="G83" s="147">
        <v>18.338000000000001</v>
      </c>
      <c r="H83" s="128">
        <v>2.9000000000000001E-2</v>
      </c>
      <c r="I83" s="128">
        <f t="shared" si="16"/>
        <v>1.61E-2</v>
      </c>
      <c r="J83" s="128">
        <f t="shared" si="17"/>
        <v>3.7579999999999995E-2</v>
      </c>
      <c r="K83" s="128">
        <f t="shared" si="18"/>
        <v>6.658E-2</v>
      </c>
      <c r="L83" s="128">
        <f t="shared" si="19"/>
        <v>18.404579999999999</v>
      </c>
      <c r="M83" s="469">
        <f t="shared" si="20"/>
        <v>91.837080000000014</v>
      </c>
      <c r="N83" s="469">
        <f t="shared" si="21"/>
        <v>91.8</v>
      </c>
      <c r="O83" s="469">
        <f t="shared" si="22"/>
        <v>92</v>
      </c>
      <c r="P83" s="487">
        <f t="shared" si="23"/>
        <v>92000</v>
      </c>
    </row>
    <row r="84" spans="1:16" ht="20.25" x14ac:dyDescent="0.3">
      <c r="A84" s="486">
        <v>74</v>
      </c>
      <c r="B84" s="129" t="s">
        <v>744</v>
      </c>
      <c r="C84" s="126" t="s">
        <v>662</v>
      </c>
      <c r="D84" s="130">
        <v>1</v>
      </c>
      <c r="E84" s="130">
        <v>10</v>
      </c>
      <c r="F84" s="119" t="s">
        <v>658</v>
      </c>
      <c r="G84" s="147">
        <v>18.55</v>
      </c>
      <c r="H84" s="128">
        <v>2.9000000000000001E-2</v>
      </c>
      <c r="I84" s="128">
        <f t="shared" si="16"/>
        <v>1.61E-2</v>
      </c>
      <c r="J84" s="128">
        <f t="shared" si="17"/>
        <v>3.7579999999999995E-2</v>
      </c>
      <c r="K84" s="128">
        <f t="shared" si="18"/>
        <v>6.658E-2</v>
      </c>
      <c r="L84" s="128">
        <f t="shared" si="19"/>
        <v>18.616579999999999</v>
      </c>
      <c r="M84" s="469">
        <f t="shared" si="20"/>
        <v>92.897080000000017</v>
      </c>
      <c r="N84" s="469">
        <f t="shared" si="21"/>
        <v>92.9</v>
      </c>
      <c r="O84" s="469">
        <f t="shared" si="22"/>
        <v>93</v>
      </c>
      <c r="P84" s="487">
        <f t="shared" si="23"/>
        <v>93000</v>
      </c>
    </row>
    <row r="85" spans="1:16" ht="20.25" x14ac:dyDescent="0.3">
      <c r="A85" s="486">
        <v>75</v>
      </c>
      <c r="B85" s="129" t="s">
        <v>745</v>
      </c>
      <c r="C85" s="126" t="s">
        <v>660</v>
      </c>
      <c r="D85" s="130">
        <v>1</v>
      </c>
      <c r="E85" s="130">
        <v>20</v>
      </c>
      <c r="F85" s="119" t="s">
        <v>658</v>
      </c>
      <c r="G85" s="147">
        <v>21.503</v>
      </c>
      <c r="H85" s="128">
        <v>2.9000000000000001E-2</v>
      </c>
      <c r="I85" s="128">
        <f t="shared" si="16"/>
        <v>1.61E-2</v>
      </c>
      <c r="J85" s="128">
        <f t="shared" si="17"/>
        <v>3.7579999999999995E-2</v>
      </c>
      <c r="K85" s="128">
        <f t="shared" si="18"/>
        <v>6.658E-2</v>
      </c>
      <c r="L85" s="128">
        <f t="shared" si="19"/>
        <v>21.569579999999998</v>
      </c>
      <c r="M85" s="469">
        <f t="shared" si="20"/>
        <v>107.66208000000002</v>
      </c>
      <c r="N85" s="469">
        <f t="shared" si="21"/>
        <v>107.7</v>
      </c>
      <c r="O85" s="469">
        <f t="shared" si="22"/>
        <v>108</v>
      </c>
      <c r="P85" s="487">
        <f t="shared" si="23"/>
        <v>108000</v>
      </c>
    </row>
    <row r="86" spans="1:16" ht="20.25" x14ac:dyDescent="0.3">
      <c r="A86" s="486">
        <v>76</v>
      </c>
      <c r="B86" s="129" t="s">
        <v>746</v>
      </c>
      <c r="C86" s="126" t="s">
        <v>662</v>
      </c>
      <c r="D86" s="130">
        <v>5</v>
      </c>
      <c r="E86" s="130">
        <v>20</v>
      </c>
      <c r="F86" s="119" t="s">
        <v>658</v>
      </c>
      <c r="G86" s="147">
        <v>53</v>
      </c>
      <c r="H86" s="128">
        <v>2.9000000000000001E-2</v>
      </c>
      <c r="I86" s="128">
        <f t="shared" si="16"/>
        <v>1.61E-2</v>
      </c>
      <c r="J86" s="128">
        <f t="shared" si="17"/>
        <v>3.7579999999999995E-2</v>
      </c>
      <c r="K86" s="128">
        <f t="shared" si="18"/>
        <v>6.658E-2</v>
      </c>
      <c r="L86" s="128">
        <f t="shared" si="19"/>
        <v>53.066580000000002</v>
      </c>
      <c r="M86" s="469">
        <f t="shared" si="20"/>
        <v>265.14708000000002</v>
      </c>
      <c r="N86" s="469">
        <f t="shared" si="21"/>
        <v>265.10000000000002</v>
      </c>
      <c r="O86" s="469">
        <f t="shared" si="22"/>
        <v>265</v>
      </c>
      <c r="P86" s="487">
        <f t="shared" si="23"/>
        <v>265000</v>
      </c>
    </row>
    <row r="87" spans="1:16" ht="20.25" x14ac:dyDescent="0.3">
      <c r="A87" s="486">
        <v>77</v>
      </c>
      <c r="B87" s="129" t="s">
        <v>747</v>
      </c>
      <c r="C87" s="126" t="s">
        <v>667</v>
      </c>
      <c r="D87" s="130">
        <v>1</v>
      </c>
      <c r="E87" s="130">
        <v>10</v>
      </c>
      <c r="F87" s="119" t="s">
        <v>658</v>
      </c>
      <c r="G87" s="147">
        <v>44.393999999999998</v>
      </c>
      <c r="H87" s="128">
        <v>2.9000000000000001E-2</v>
      </c>
      <c r="I87" s="128">
        <f t="shared" si="16"/>
        <v>1.61E-2</v>
      </c>
      <c r="J87" s="128">
        <f t="shared" si="17"/>
        <v>3.7579999999999995E-2</v>
      </c>
      <c r="K87" s="128">
        <f t="shared" si="18"/>
        <v>6.658E-2</v>
      </c>
      <c r="L87" s="128">
        <f t="shared" si="19"/>
        <v>44.46058</v>
      </c>
      <c r="M87" s="469">
        <f t="shared" si="20"/>
        <v>222.11707999999999</v>
      </c>
      <c r="N87" s="469">
        <f t="shared" si="21"/>
        <v>222.1</v>
      </c>
      <c r="O87" s="469">
        <f t="shared" si="22"/>
        <v>222</v>
      </c>
      <c r="P87" s="487">
        <f t="shared" si="23"/>
        <v>222000</v>
      </c>
    </row>
    <row r="88" spans="1:16" ht="20.25" x14ac:dyDescent="0.3">
      <c r="A88" s="486">
        <v>78</v>
      </c>
      <c r="B88" s="129" t="s">
        <v>748</v>
      </c>
      <c r="C88" s="126" t="s">
        <v>667</v>
      </c>
      <c r="D88" s="130">
        <v>20</v>
      </c>
      <c r="E88" s="130"/>
      <c r="F88" s="119" t="s">
        <v>658</v>
      </c>
      <c r="G88" s="147">
        <v>89.55</v>
      </c>
      <c r="H88" s="128">
        <v>2.9000000000000001E-2</v>
      </c>
      <c r="I88" s="128">
        <f t="shared" si="16"/>
        <v>1.61E-2</v>
      </c>
      <c r="J88" s="128">
        <f t="shared" si="17"/>
        <v>3.7579999999999995E-2</v>
      </c>
      <c r="K88" s="128">
        <f t="shared" si="18"/>
        <v>6.658E-2</v>
      </c>
      <c r="L88" s="128">
        <f t="shared" si="19"/>
        <v>89.616579999999999</v>
      </c>
      <c r="M88" s="469">
        <f t="shared" si="20"/>
        <v>447.89707999999996</v>
      </c>
      <c r="N88" s="469">
        <f t="shared" si="21"/>
        <v>447.9</v>
      </c>
      <c r="O88" s="469">
        <f t="shared" si="22"/>
        <v>448</v>
      </c>
      <c r="P88" s="487">
        <f t="shared" si="23"/>
        <v>448000</v>
      </c>
    </row>
    <row r="89" spans="1:16" ht="20.25" x14ac:dyDescent="0.3">
      <c r="A89" s="486">
        <v>79</v>
      </c>
      <c r="B89" s="129" t="s">
        <v>749</v>
      </c>
      <c r="C89" s="126" t="s">
        <v>667</v>
      </c>
      <c r="D89" s="130">
        <v>5</v>
      </c>
      <c r="E89" s="130">
        <v>20</v>
      </c>
      <c r="F89" s="119" t="s">
        <v>658</v>
      </c>
      <c r="G89" s="147">
        <v>21.725000000000001</v>
      </c>
      <c r="H89" s="128">
        <v>2.9000000000000001E-2</v>
      </c>
      <c r="I89" s="128">
        <f t="shared" si="16"/>
        <v>1.61E-2</v>
      </c>
      <c r="J89" s="128">
        <f t="shared" si="17"/>
        <v>3.7579999999999995E-2</v>
      </c>
      <c r="K89" s="128">
        <f t="shared" si="18"/>
        <v>6.658E-2</v>
      </c>
      <c r="L89" s="128">
        <f t="shared" si="19"/>
        <v>21.79158</v>
      </c>
      <c r="M89" s="469">
        <f t="shared" si="20"/>
        <v>108.77208000000002</v>
      </c>
      <c r="N89" s="469">
        <f t="shared" si="21"/>
        <v>108.8</v>
      </c>
      <c r="O89" s="469">
        <f t="shared" si="22"/>
        <v>109</v>
      </c>
      <c r="P89" s="487">
        <f t="shared" si="23"/>
        <v>109000</v>
      </c>
    </row>
    <row r="90" spans="1:16" ht="20.25" x14ac:dyDescent="0.3">
      <c r="A90" s="486">
        <v>80</v>
      </c>
      <c r="B90" s="129" t="s">
        <v>750</v>
      </c>
      <c r="C90" s="126" t="s">
        <v>678</v>
      </c>
      <c r="D90" s="130">
        <v>10</v>
      </c>
      <c r="E90" s="130"/>
      <c r="F90" s="119" t="s">
        <v>658</v>
      </c>
      <c r="G90" s="147">
        <v>23.64</v>
      </c>
      <c r="H90" s="128">
        <v>2.9000000000000001E-2</v>
      </c>
      <c r="I90" s="128">
        <f t="shared" si="16"/>
        <v>1.61E-2</v>
      </c>
      <c r="J90" s="128">
        <f t="shared" si="17"/>
        <v>3.7579999999999995E-2</v>
      </c>
      <c r="K90" s="128">
        <f t="shared" si="18"/>
        <v>6.658E-2</v>
      </c>
      <c r="L90" s="128">
        <f t="shared" si="19"/>
        <v>23.706579999999999</v>
      </c>
      <c r="M90" s="469">
        <f t="shared" si="20"/>
        <v>118.34708000000002</v>
      </c>
      <c r="N90" s="469">
        <f t="shared" si="21"/>
        <v>118.3</v>
      </c>
      <c r="O90" s="469">
        <f t="shared" si="22"/>
        <v>118</v>
      </c>
      <c r="P90" s="487">
        <f t="shared" si="23"/>
        <v>118000</v>
      </c>
    </row>
    <row r="91" spans="1:16" ht="20.25" x14ac:dyDescent="0.3">
      <c r="A91" s="486">
        <v>81</v>
      </c>
      <c r="B91" s="129" t="s">
        <v>751</v>
      </c>
      <c r="C91" s="126" t="s">
        <v>662</v>
      </c>
      <c r="D91" s="130">
        <v>5</v>
      </c>
      <c r="E91" s="130">
        <v>20</v>
      </c>
      <c r="F91" s="119" t="s">
        <v>658</v>
      </c>
      <c r="G91" s="147">
        <v>40.81</v>
      </c>
      <c r="H91" s="128">
        <v>2.9000000000000001E-2</v>
      </c>
      <c r="I91" s="128">
        <f t="shared" ref="I91:I116" si="24">16.1/1000</f>
        <v>1.61E-2</v>
      </c>
      <c r="J91" s="128">
        <f t="shared" ref="J91:J116" si="25">(53.68-16.1)/1000</f>
        <v>3.7579999999999995E-2</v>
      </c>
      <c r="K91" s="128">
        <f t="shared" ref="K91:K116" si="26">H91+J91</f>
        <v>6.658E-2</v>
      </c>
      <c r="L91" s="128">
        <f t="shared" ref="L91:L116" si="27">G91+K91</f>
        <v>40.876580000000004</v>
      </c>
      <c r="M91" s="469">
        <f t="shared" ref="M91:M116" si="28">(G91+I91)*5+K91</f>
        <v>204.19708</v>
      </c>
      <c r="N91" s="469">
        <f t="shared" ref="N91:N116" si="29">ROUND(M91,1)</f>
        <v>204.2</v>
      </c>
      <c r="O91" s="469">
        <f t="shared" ref="O91:O116" si="30">ROUND(M91,0)</f>
        <v>204</v>
      </c>
      <c r="P91" s="487">
        <f t="shared" ref="P91:P122" si="31">O91*1000</f>
        <v>204000</v>
      </c>
    </row>
    <row r="92" spans="1:16" ht="20.25" x14ac:dyDescent="0.3">
      <c r="A92" s="486">
        <v>82</v>
      </c>
      <c r="B92" s="129" t="s">
        <v>752</v>
      </c>
      <c r="C92" s="126" t="s">
        <v>662</v>
      </c>
      <c r="D92" s="130">
        <v>5</v>
      </c>
      <c r="E92" s="130">
        <v>20</v>
      </c>
      <c r="F92" s="119" t="s">
        <v>658</v>
      </c>
      <c r="G92" s="147">
        <v>32.86</v>
      </c>
      <c r="H92" s="128">
        <v>2.9000000000000001E-2</v>
      </c>
      <c r="I92" s="128">
        <f t="shared" si="24"/>
        <v>1.61E-2</v>
      </c>
      <c r="J92" s="128">
        <f t="shared" si="25"/>
        <v>3.7579999999999995E-2</v>
      </c>
      <c r="K92" s="128">
        <f t="shared" si="26"/>
        <v>6.658E-2</v>
      </c>
      <c r="L92" s="128">
        <f t="shared" si="27"/>
        <v>32.926580000000001</v>
      </c>
      <c r="M92" s="469">
        <f t="shared" si="28"/>
        <v>164.44708</v>
      </c>
      <c r="N92" s="469">
        <f t="shared" si="29"/>
        <v>164.4</v>
      </c>
      <c r="O92" s="469">
        <f t="shared" si="30"/>
        <v>164</v>
      </c>
      <c r="P92" s="487">
        <f t="shared" si="31"/>
        <v>164000</v>
      </c>
    </row>
    <row r="93" spans="1:16" ht="20.25" x14ac:dyDescent="0.3">
      <c r="A93" s="486">
        <v>83</v>
      </c>
      <c r="B93" s="129" t="s">
        <v>753</v>
      </c>
      <c r="C93" s="126" t="s">
        <v>754</v>
      </c>
      <c r="D93" s="130">
        <v>25</v>
      </c>
      <c r="E93" s="130"/>
      <c r="F93" s="119" t="s">
        <v>658</v>
      </c>
      <c r="G93" s="147">
        <v>5.3280000000000003</v>
      </c>
      <c r="H93" s="128">
        <v>2.9000000000000001E-2</v>
      </c>
      <c r="I93" s="128">
        <f t="shared" si="24"/>
        <v>1.61E-2</v>
      </c>
      <c r="J93" s="128">
        <f t="shared" si="25"/>
        <v>3.7579999999999995E-2</v>
      </c>
      <c r="K93" s="128">
        <f t="shared" si="26"/>
        <v>6.658E-2</v>
      </c>
      <c r="L93" s="128">
        <f t="shared" si="27"/>
        <v>5.3945800000000004</v>
      </c>
      <c r="M93" s="469">
        <f t="shared" si="28"/>
        <v>26.78708</v>
      </c>
      <c r="N93" s="469">
        <f t="shared" si="29"/>
        <v>26.8</v>
      </c>
      <c r="O93" s="469">
        <f t="shared" si="30"/>
        <v>27</v>
      </c>
      <c r="P93" s="487">
        <f t="shared" si="31"/>
        <v>27000</v>
      </c>
    </row>
    <row r="94" spans="1:16" ht="20.25" x14ac:dyDescent="0.3">
      <c r="A94" s="486">
        <v>84</v>
      </c>
      <c r="B94" s="129" t="s">
        <v>755</v>
      </c>
      <c r="C94" s="126" t="s">
        <v>667</v>
      </c>
      <c r="D94" s="130">
        <v>1</v>
      </c>
      <c r="E94" s="130">
        <v>20</v>
      </c>
      <c r="F94" s="119" t="s">
        <v>658</v>
      </c>
      <c r="G94" s="147">
        <v>18.77</v>
      </c>
      <c r="H94" s="128">
        <v>2.9000000000000001E-2</v>
      </c>
      <c r="I94" s="128">
        <f t="shared" si="24"/>
        <v>1.61E-2</v>
      </c>
      <c r="J94" s="128">
        <f t="shared" si="25"/>
        <v>3.7579999999999995E-2</v>
      </c>
      <c r="K94" s="128">
        <f t="shared" si="26"/>
        <v>6.658E-2</v>
      </c>
      <c r="L94" s="128">
        <f t="shared" si="27"/>
        <v>18.836579999999998</v>
      </c>
      <c r="M94" s="469">
        <f t="shared" si="28"/>
        <v>93.997080000000011</v>
      </c>
      <c r="N94" s="469">
        <f t="shared" si="29"/>
        <v>94</v>
      </c>
      <c r="O94" s="469">
        <f t="shared" si="30"/>
        <v>94</v>
      </c>
      <c r="P94" s="487">
        <f t="shared" si="31"/>
        <v>94000</v>
      </c>
    </row>
    <row r="95" spans="1:16" ht="20.25" x14ac:dyDescent="0.3">
      <c r="A95" s="486">
        <v>85</v>
      </c>
      <c r="B95" s="129" t="s">
        <v>756</v>
      </c>
      <c r="C95" s="126" t="s">
        <v>678</v>
      </c>
      <c r="D95" s="130">
        <v>1</v>
      </c>
      <c r="E95" s="130">
        <v>20</v>
      </c>
      <c r="F95" s="119" t="s">
        <v>658</v>
      </c>
      <c r="G95" s="147">
        <v>31.422000000000001</v>
      </c>
      <c r="H95" s="128">
        <v>2.9000000000000001E-2</v>
      </c>
      <c r="I95" s="128">
        <f t="shared" si="24"/>
        <v>1.61E-2</v>
      </c>
      <c r="J95" s="128">
        <f t="shared" si="25"/>
        <v>3.7579999999999995E-2</v>
      </c>
      <c r="K95" s="128">
        <f t="shared" si="26"/>
        <v>6.658E-2</v>
      </c>
      <c r="L95" s="128">
        <f t="shared" si="27"/>
        <v>31.488579999999999</v>
      </c>
      <c r="M95" s="469">
        <f t="shared" si="28"/>
        <v>157.25708</v>
      </c>
      <c r="N95" s="469">
        <f t="shared" si="29"/>
        <v>157.30000000000001</v>
      </c>
      <c r="O95" s="469">
        <f t="shared" si="30"/>
        <v>157</v>
      </c>
      <c r="P95" s="487">
        <f t="shared" si="31"/>
        <v>157000</v>
      </c>
    </row>
    <row r="96" spans="1:16" ht="20.25" x14ac:dyDescent="0.3">
      <c r="A96" s="486">
        <v>86</v>
      </c>
      <c r="B96" s="129" t="s">
        <v>757</v>
      </c>
      <c r="C96" s="126" t="s">
        <v>727</v>
      </c>
      <c r="D96" s="130">
        <v>1</v>
      </c>
      <c r="E96" s="130">
        <v>10</v>
      </c>
      <c r="F96" s="119" t="s">
        <v>658</v>
      </c>
      <c r="G96" s="147">
        <v>14.289</v>
      </c>
      <c r="H96" s="128">
        <v>2.9000000000000001E-2</v>
      </c>
      <c r="I96" s="128">
        <f t="shared" si="24"/>
        <v>1.61E-2</v>
      </c>
      <c r="J96" s="128">
        <f t="shared" si="25"/>
        <v>3.7579999999999995E-2</v>
      </c>
      <c r="K96" s="128">
        <f t="shared" si="26"/>
        <v>6.658E-2</v>
      </c>
      <c r="L96" s="128">
        <f t="shared" si="27"/>
        <v>14.35558</v>
      </c>
      <c r="M96" s="469">
        <f t="shared" si="28"/>
        <v>71.592079999999996</v>
      </c>
      <c r="N96" s="469">
        <f t="shared" si="29"/>
        <v>71.599999999999994</v>
      </c>
      <c r="O96" s="469">
        <f t="shared" si="30"/>
        <v>72</v>
      </c>
      <c r="P96" s="487">
        <f t="shared" si="31"/>
        <v>72000</v>
      </c>
    </row>
    <row r="97" spans="1:16" ht="20.25" x14ac:dyDescent="0.3">
      <c r="A97" s="486">
        <v>87</v>
      </c>
      <c r="B97" s="129" t="s">
        <v>758</v>
      </c>
      <c r="C97" s="126" t="s">
        <v>724</v>
      </c>
      <c r="D97" s="130">
        <v>25</v>
      </c>
      <c r="E97" s="130"/>
      <c r="F97" s="119" t="s">
        <v>658</v>
      </c>
      <c r="G97" s="147">
        <v>3.9710000000000001</v>
      </c>
      <c r="H97" s="128">
        <v>2.9000000000000001E-2</v>
      </c>
      <c r="I97" s="128">
        <f t="shared" si="24"/>
        <v>1.61E-2</v>
      </c>
      <c r="J97" s="128">
        <f t="shared" si="25"/>
        <v>3.7579999999999995E-2</v>
      </c>
      <c r="K97" s="128">
        <f t="shared" si="26"/>
        <v>6.658E-2</v>
      </c>
      <c r="L97" s="128">
        <f t="shared" si="27"/>
        <v>4.0375800000000002</v>
      </c>
      <c r="M97" s="469">
        <f t="shared" si="28"/>
        <v>20.002079999999996</v>
      </c>
      <c r="N97" s="469">
        <f t="shared" si="29"/>
        <v>20</v>
      </c>
      <c r="O97" s="469">
        <f t="shared" si="30"/>
        <v>20</v>
      </c>
      <c r="P97" s="487">
        <f t="shared" si="31"/>
        <v>20000</v>
      </c>
    </row>
    <row r="98" spans="1:16" ht="20.25" x14ac:dyDescent="0.3">
      <c r="A98" s="486">
        <v>88</v>
      </c>
      <c r="B98" s="129" t="s">
        <v>759</v>
      </c>
      <c r="C98" s="126" t="s">
        <v>678</v>
      </c>
      <c r="D98" s="130">
        <v>10</v>
      </c>
      <c r="E98" s="130"/>
      <c r="F98" s="119" t="s">
        <v>658</v>
      </c>
      <c r="G98" s="147">
        <v>25.526</v>
      </c>
      <c r="H98" s="128">
        <v>2.9000000000000001E-2</v>
      </c>
      <c r="I98" s="128">
        <f t="shared" si="24"/>
        <v>1.61E-2</v>
      </c>
      <c r="J98" s="128">
        <f t="shared" si="25"/>
        <v>3.7579999999999995E-2</v>
      </c>
      <c r="K98" s="128">
        <f t="shared" si="26"/>
        <v>6.658E-2</v>
      </c>
      <c r="L98" s="128">
        <f t="shared" si="27"/>
        <v>25.592579999999998</v>
      </c>
      <c r="M98" s="469">
        <f t="shared" si="28"/>
        <v>127.77708000000001</v>
      </c>
      <c r="N98" s="469">
        <f t="shared" si="29"/>
        <v>127.8</v>
      </c>
      <c r="O98" s="469">
        <f t="shared" si="30"/>
        <v>128</v>
      </c>
      <c r="P98" s="487">
        <f t="shared" si="31"/>
        <v>128000</v>
      </c>
    </row>
    <row r="99" spans="1:16" ht="20.25" x14ac:dyDescent="0.3">
      <c r="A99" s="486">
        <v>89</v>
      </c>
      <c r="B99" s="129" t="s">
        <v>760</v>
      </c>
      <c r="C99" s="126" t="s">
        <v>690</v>
      </c>
      <c r="D99" s="130">
        <v>20</v>
      </c>
      <c r="E99" s="130"/>
      <c r="F99" s="119" t="s">
        <v>658</v>
      </c>
      <c r="G99" s="147">
        <v>12.749000000000001</v>
      </c>
      <c r="H99" s="128">
        <v>2.9000000000000001E-2</v>
      </c>
      <c r="I99" s="128">
        <f t="shared" si="24"/>
        <v>1.61E-2</v>
      </c>
      <c r="J99" s="128">
        <f t="shared" si="25"/>
        <v>3.7579999999999995E-2</v>
      </c>
      <c r="K99" s="128">
        <f t="shared" si="26"/>
        <v>6.658E-2</v>
      </c>
      <c r="L99" s="128">
        <f t="shared" si="27"/>
        <v>12.815580000000001</v>
      </c>
      <c r="M99" s="469">
        <f t="shared" si="28"/>
        <v>63.892080000000007</v>
      </c>
      <c r="N99" s="469">
        <f t="shared" si="29"/>
        <v>63.9</v>
      </c>
      <c r="O99" s="469">
        <f t="shared" si="30"/>
        <v>64</v>
      </c>
      <c r="P99" s="487">
        <f t="shared" si="31"/>
        <v>64000</v>
      </c>
    </row>
    <row r="100" spans="1:16" ht="20.25" x14ac:dyDescent="0.3">
      <c r="A100" s="486">
        <v>90</v>
      </c>
      <c r="B100" s="129" t="s">
        <v>761</v>
      </c>
      <c r="C100" s="126" t="s">
        <v>657</v>
      </c>
      <c r="D100" s="130">
        <v>20</v>
      </c>
      <c r="E100" s="130"/>
      <c r="F100" s="119" t="s">
        <v>658</v>
      </c>
      <c r="G100" s="147">
        <v>25.526</v>
      </c>
      <c r="H100" s="128">
        <v>2.9000000000000001E-2</v>
      </c>
      <c r="I100" s="128">
        <f t="shared" si="24"/>
        <v>1.61E-2</v>
      </c>
      <c r="J100" s="128">
        <f t="shared" si="25"/>
        <v>3.7579999999999995E-2</v>
      </c>
      <c r="K100" s="128">
        <f t="shared" si="26"/>
        <v>6.658E-2</v>
      </c>
      <c r="L100" s="128">
        <f t="shared" si="27"/>
        <v>25.592579999999998</v>
      </c>
      <c r="M100" s="469">
        <f t="shared" si="28"/>
        <v>127.77708000000001</v>
      </c>
      <c r="N100" s="469">
        <f t="shared" si="29"/>
        <v>127.8</v>
      </c>
      <c r="O100" s="469">
        <f t="shared" si="30"/>
        <v>128</v>
      </c>
      <c r="P100" s="487">
        <f t="shared" si="31"/>
        <v>128000</v>
      </c>
    </row>
    <row r="101" spans="1:16" ht="20.25" x14ac:dyDescent="0.3">
      <c r="A101" s="486">
        <v>91</v>
      </c>
      <c r="B101" s="129" t="s">
        <v>762</v>
      </c>
      <c r="C101" s="126" t="s">
        <v>763</v>
      </c>
      <c r="D101" s="130">
        <v>20</v>
      </c>
      <c r="E101" s="130"/>
      <c r="F101" s="119" t="s">
        <v>658</v>
      </c>
      <c r="G101" s="147">
        <v>16</v>
      </c>
      <c r="H101" s="128">
        <v>2.9000000000000001E-2</v>
      </c>
      <c r="I101" s="128">
        <f t="shared" si="24"/>
        <v>1.61E-2</v>
      </c>
      <c r="J101" s="128">
        <f t="shared" si="25"/>
        <v>3.7579999999999995E-2</v>
      </c>
      <c r="K101" s="128">
        <f t="shared" si="26"/>
        <v>6.658E-2</v>
      </c>
      <c r="L101" s="128">
        <f t="shared" si="27"/>
        <v>16.066579999999998</v>
      </c>
      <c r="M101" s="469">
        <f t="shared" si="28"/>
        <v>80.147080000000003</v>
      </c>
      <c r="N101" s="469">
        <f t="shared" si="29"/>
        <v>80.099999999999994</v>
      </c>
      <c r="O101" s="469">
        <f t="shared" si="30"/>
        <v>80</v>
      </c>
      <c r="P101" s="487">
        <f t="shared" si="31"/>
        <v>80000</v>
      </c>
    </row>
    <row r="102" spans="1:16" ht="20.25" x14ac:dyDescent="0.3">
      <c r="A102" s="486">
        <v>92</v>
      </c>
      <c r="B102" s="129" t="s">
        <v>764</v>
      </c>
      <c r="C102" s="126" t="s">
        <v>657</v>
      </c>
      <c r="D102" s="130">
        <v>25</v>
      </c>
      <c r="E102" s="130"/>
      <c r="F102" s="119" t="s">
        <v>658</v>
      </c>
      <c r="G102" s="147">
        <v>7.8440000000000003</v>
      </c>
      <c r="H102" s="128">
        <v>2.9000000000000001E-2</v>
      </c>
      <c r="I102" s="128">
        <f t="shared" si="24"/>
        <v>1.61E-2</v>
      </c>
      <c r="J102" s="128">
        <f t="shared" si="25"/>
        <v>3.7579999999999995E-2</v>
      </c>
      <c r="K102" s="128">
        <f t="shared" si="26"/>
        <v>6.658E-2</v>
      </c>
      <c r="L102" s="128">
        <f t="shared" si="27"/>
        <v>7.9105800000000004</v>
      </c>
      <c r="M102" s="469">
        <f t="shared" si="28"/>
        <v>39.367080000000001</v>
      </c>
      <c r="N102" s="469">
        <f t="shared" si="29"/>
        <v>39.4</v>
      </c>
      <c r="O102" s="469">
        <f t="shared" si="30"/>
        <v>39</v>
      </c>
      <c r="P102" s="487">
        <f t="shared" si="31"/>
        <v>39000</v>
      </c>
    </row>
    <row r="103" spans="1:16" ht="20.25" x14ac:dyDescent="0.3">
      <c r="A103" s="486">
        <v>93</v>
      </c>
      <c r="B103" s="129" t="s">
        <v>765</v>
      </c>
      <c r="C103" s="126" t="s">
        <v>662</v>
      </c>
      <c r="D103" s="130">
        <v>20</v>
      </c>
      <c r="E103" s="130"/>
      <c r="F103" s="119" t="s">
        <v>658</v>
      </c>
      <c r="G103" s="147">
        <v>7.95</v>
      </c>
      <c r="H103" s="128">
        <v>2.9000000000000001E-2</v>
      </c>
      <c r="I103" s="128">
        <f t="shared" si="24"/>
        <v>1.61E-2</v>
      </c>
      <c r="J103" s="128">
        <f t="shared" si="25"/>
        <v>3.7579999999999995E-2</v>
      </c>
      <c r="K103" s="128">
        <f t="shared" si="26"/>
        <v>6.658E-2</v>
      </c>
      <c r="L103" s="128">
        <f t="shared" si="27"/>
        <v>8.0165799999999994</v>
      </c>
      <c r="M103" s="469">
        <f t="shared" si="28"/>
        <v>39.897080000000003</v>
      </c>
      <c r="N103" s="469">
        <f t="shared" si="29"/>
        <v>39.9</v>
      </c>
      <c r="O103" s="469">
        <f t="shared" si="30"/>
        <v>40</v>
      </c>
      <c r="P103" s="487">
        <f t="shared" si="31"/>
        <v>40000</v>
      </c>
    </row>
    <row r="104" spans="1:16" ht="20.25" x14ac:dyDescent="0.3">
      <c r="A104" s="486">
        <v>94</v>
      </c>
      <c r="B104" s="129" t="s">
        <v>766</v>
      </c>
      <c r="C104" s="126" t="s">
        <v>662</v>
      </c>
      <c r="D104" s="130">
        <v>5</v>
      </c>
      <c r="E104" s="130">
        <v>20</v>
      </c>
      <c r="F104" s="119" t="s">
        <v>658</v>
      </c>
      <c r="G104" s="147">
        <v>13.78</v>
      </c>
      <c r="H104" s="128">
        <v>2.9000000000000001E-2</v>
      </c>
      <c r="I104" s="128">
        <f t="shared" si="24"/>
        <v>1.61E-2</v>
      </c>
      <c r="J104" s="128">
        <f t="shared" si="25"/>
        <v>3.7579999999999995E-2</v>
      </c>
      <c r="K104" s="128">
        <f t="shared" si="26"/>
        <v>6.658E-2</v>
      </c>
      <c r="L104" s="128">
        <f t="shared" si="27"/>
        <v>13.846579999999999</v>
      </c>
      <c r="M104" s="469">
        <f t="shared" si="28"/>
        <v>69.047079999999994</v>
      </c>
      <c r="N104" s="469">
        <f t="shared" si="29"/>
        <v>69</v>
      </c>
      <c r="O104" s="469">
        <f t="shared" si="30"/>
        <v>69</v>
      </c>
      <c r="P104" s="487">
        <f t="shared" si="31"/>
        <v>69000</v>
      </c>
    </row>
    <row r="105" spans="1:16" ht="20.25" x14ac:dyDescent="0.3">
      <c r="A105" s="486">
        <v>95</v>
      </c>
      <c r="B105" s="129" t="s">
        <v>767</v>
      </c>
      <c r="C105" s="126" t="s">
        <v>662</v>
      </c>
      <c r="D105" s="130">
        <v>10</v>
      </c>
      <c r="E105" s="130"/>
      <c r="F105" s="119" t="s">
        <v>658</v>
      </c>
      <c r="G105" s="147">
        <v>379</v>
      </c>
      <c r="H105" s="128">
        <v>2.9000000000000001E-2</v>
      </c>
      <c r="I105" s="128">
        <f t="shared" si="24"/>
        <v>1.61E-2</v>
      </c>
      <c r="J105" s="128">
        <f t="shared" si="25"/>
        <v>3.7579999999999995E-2</v>
      </c>
      <c r="K105" s="128">
        <f t="shared" si="26"/>
        <v>6.658E-2</v>
      </c>
      <c r="L105" s="128">
        <f t="shared" si="27"/>
        <v>379.06657999999999</v>
      </c>
      <c r="M105" s="469">
        <f t="shared" si="28"/>
        <v>1895.14708</v>
      </c>
      <c r="N105" s="469">
        <f t="shared" si="29"/>
        <v>1895.1</v>
      </c>
      <c r="O105" s="469">
        <f t="shared" si="30"/>
        <v>1895</v>
      </c>
      <c r="P105" s="487">
        <f t="shared" si="31"/>
        <v>1895000</v>
      </c>
    </row>
    <row r="106" spans="1:16" ht="20.25" x14ac:dyDescent="0.3">
      <c r="A106" s="486">
        <v>96</v>
      </c>
      <c r="B106" s="129" t="s">
        <v>768</v>
      </c>
      <c r="C106" s="126" t="s">
        <v>667</v>
      </c>
      <c r="D106" s="130">
        <v>10</v>
      </c>
      <c r="E106" s="130">
        <v>20</v>
      </c>
      <c r="F106" s="119" t="s">
        <v>658</v>
      </c>
      <c r="G106" s="147">
        <v>10.682</v>
      </c>
      <c r="H106" s="128">
        <v>2.9000000000000001E-2</v>
      </c>
      <c r="I106" s="128">
        <f t="shared" si="24"/>
        <v>1.61E-2</v>
      </c>
      <c r="J106" s="128">
        <f t="shared" si="25"/>
        <v>3.7579999999999995E-2</v>
      </c>
      <c r="K106" s="128">
        <f t="shared" si="26"/>
        <v>6.658E-2</v>
      </c>
      <c r="L106" s="128">
        <f t="shared" si="27"/>
        <v>10.74858</v>
      </c>
      <c r="M106" s="469">
        <f t="shared" si="28"/>
        <v>53.557079999999999</v>
      </c>
      <c r="N106" s="469">
        <f t="shared" si="29"/>
        <v>53.6</v>
      </c>
      <c r="O106" s="469">
        <f t="shared" si="30"/>
        <v>54</v>
      </c>
      <c r="P106" s="487">
        <f t="shared" si="31"/>
        <v>54000</v>
      </c>
    </row>
    <row r="107" spans="1:16" ht="20.25" x14ac:dyDescent="0.3">
      <c r="A107" s="486">
        <v>97</v>
      </c>
      <c r="B107" s="129" t="s">
        <v>769</v>
      </c>
      <c r="C107" s="126" t="s">
        <v>662</v>
      </c>
      <c r="D107" s="130">
        <v>20</v>
      </c>
      <c r="E107" s="130"/>
      <c r="F107" s="119" t="s">
        <v>658</v>
      </c>
      <c r="G107" s="147">
        <v>23.414999999999999</v>
      </c>
      <c r="H107" s="128">
        <v>2.9000000000000001E-2</v>
      </c>
      <c r="I107" s="128">
        <f t="shared" si="24"/>
        <v>1.61E-2</v>
      </c>
      <c r="J107" s="128">
        <f t="shared" si="25"/>
        <v>3.7579999999999995E-2</v>
      </c>
      <c r="K107" s="128">
        <f t="shared" si="26"/>
        <v>6.658E-2</v>
      </c>
      <c r="L107" s="128">
        <f t="shared" si="27"/>
        <v>23.481579999999997</v>
      </c>
      <c r="M107" s="469">
        <f t="shared" si="28"/>
        <v>117.22208000000001</v>
      </c>
      <c r="N107" s="469">
        <f t="shared" si="29"/>
        <v>117.2</v>
      </c>
      <c r="O107" s="469">
        <f t="shared" si="30"/>
        <v>117</v>
      </c>
      <c r="P107" s="487">
        <f t="shared" si="31"/>
        <v>117000</v>
      </c>
    </row>
    <row r="108" spans="1:16" ht="20.25" x14ac:dyDescent="0.3">
      <c r="A108" s="486">
        <v>98</v>
      </c>
      <c r="B108" s="129" t="s">
        <v>770</v>
      </c>
      <c r="C108" s="126" t="s">
        <v>667</v>
      </c>
      <c r="D108" s="130">
        <v>20</v>
      </c>
      <c r="E108" s="130"/>
      <c r="F108" s="119" t="s">
        <v>658</v>
      </c>
      <c r="G108" s="147">
        <v>21.864000000000001</v>
      </c>
      <c r="H108" s="128">
        <v>2.9000000000000001E-2</v>
      </c>
      <c r="I108" s="128">
        <f t="shared" si="24"/>
        <v>1.61E-2</v>
      </c>
      <c r="J108" s="128">
        <f t="shared" si="25"/>
        <v>3.7579999999999995E-2</v>
      </c>
      <c r="K108" s="128">
        <f t="shared" si="26"/>
        <v>6.658E-2</v>
      </c>
      <c r="L108" s="128">
        <f t="shared" si="27"/>
        <v>21.930579999999999</v>
      </c>
      <c r="M108" s="469">
        <f t="shared" si="28"/>
        <v>109.46708000000001</v>
      </c>
      <c r="N108" s="469">
        <f t="shared" si="29"/>
        <v>109.5</v>
      </c>
      <c r="O108" s="469">
        <f t="shared" si="30"/>
        <v>109</v>
      </c>
      <c r="P108" s="487">
        <f t="shared" si="31"/>
        <v>109000</v>
      </c>
    </row>
    <row r="109" spans="1:16" ht="20.25" x14ac:dyDescent="0.3">
      <c r="A109" s="486">
        <v>99</v>
      </c>
      <c r="B109" s="129" t="s">
        <v>771</v>
      </c>
      <c r="C109" s="126" t="s">
        <v>662</v>
      </c>
      <c r="D109" s="130">
        <v>5</v>
      </c>
      <c r="E109" s="130">
        <v>20</v>
      </c>
      <c r="F109" s="119" t="s">
        <v>658</v>
      </c>
      <c r="G109" s="147">
        <v>24.38</v>
      </c>
      <c r="H109" s="128">
        <v>2.9000000000000001E-2</v>
      </c>
      <c r="I109" s="128">
        <f t="shared" si="24"/>
        <v>1.61E-2</v>
      </c>
      <c r="J109" s="128">
        <f t="shared" si="25"/>
        <v>3.7579999999999995E-2</v>
      </c>
      <c r="K109" s="128">
        <f t="shared" si="26"/>
        <v>6.658E-2</v>
      </c>
      <c r="L109" s="128">
        <f t="shared" si="27"/>
        <v>24.446579999999997</v>
      </c>
      <c r="M109" s="469">
        <f t="shared" si="28"/>
        <v>122.04708000000001</v>
      </c>
      <c r="N109" s="469">
        <f t="shared" si="29"/>
        <v>122</v>
      </c>
      <c r="O109" s="469">
        <f t="shared" si="30"/>
        <v>122</v>
      </c>
      <c r="P109" s="487">
        <f t="shared" si="31"/>
        <v>122000</v>
      </c>
    </row>
    <row r="110" spans="1:16" ht="20.25" x14ac:dyDescent="0.3">
      <c r="A110" s="486">
        <v>100</v>
      </c>
      <c r="B110" s="129" t="s">
        <v>772</v>
      </c>
      <c r="C110" s="126" t="s">
        <v>678</v>
      </c>
      <c r="D110" s="130">
        <v>10</v>
      </c>
      <c r="E110" s="130">
        <v>20</v>
      </c>
      <c r="F110" s="119" t="s">
        <v>658</v>
      </c>
      <c r="G110" s="147">
        <v>15.031000000000001</v>
      </c>
      <c r="H110" s="128">
        <v>2.9000000000000001E-2</v>
      </c>
      <c r="I110" s="128">
        <f t="shared" si="24"/>
        <v>1.61E-2</v>
      </c>
      <c r="J110" s="128">
        <f t="shared" si="25"/>
        <v>3.7579999999999995E-2</v>
      </c>
      <c r="K110" s="128">
        <f t="shared" si="26"/>
        <v>6.658E-2</v>
      </c>
      <c r="L110" s="128">
        <f t="shared" si="27"/>
        <v>15.097580000000001</v>
      </c>
      <c r="M110" s="469">
        <f t="shared" si="28"/>
        <v>75.302080000000004</v>
      </c>
      <c r="N110" s="469">
        <f t="shared" si="29"/>
        <v>75.3</v>
      </c>
      <c r="O110" s="469">
        <f t="shared" si="30"/>
        <v>75</v>
      </c>
      <c r="P110" s="487">
        <f t="shared" si="31"/>
        <v>75000</v>
      </c>
    </row>
    <row r="111" spans="1:16" ht="20.25" x14ac:dyDescent="0.3">
      <c r="A111" s="486">
        <v>101</v>
      </c>
      <c r="B111" s="129" t="s">
        <v>773</v>
      </c>
      <c r="C111" s="126" t="s">
        <v>657</v>
      </c>
      <c r="D111" s="130">
        <v>20</v>
      </c>
      <c r="E111" s="130"/>
      <c r="F111" s="119" t="s">
        <v>658</v>
      </c>
      <c r="G111" s="147">
        <v>6.36</v>
      </c>
      <c r="H111" s="128">
        <v>2.9000000000000001E-2</v>
      </c>
      <c r="I111" s="128">
        <f t="shared" si="24"/>
        <v>1.61E-2</v>
      </c>
      <c r="J111" s="128">
        <f t="shared" si="25"/>
        <v>3.7579999999999995E-2</v>
      </c>
      <c r="K111" s="128">
        <f t="shared" si="26"/>
        <v>6.658E-2</v>
      </c>
      <c r="L111" s="128">
        <f t="shared" si="27"/>
        <v>6.4265800000000004</v>
      </c>
      <c r="M111" s="469">
        <f t="shared" si="28"/>
        <v>31.94708</v>
      </c>
      <c r="N111" s="469">
        <f t="shared" si="29"/>
        <v>31.9</v>
      </c>
      <c r="O111" s="469">
        <f t="shared" si="30"/>
        <v>32</v>
      </c>
      <c r="P111" s="487">
        <f t="shared" si="31"/>
        <v>32000</v>
      </c>
    </row>
    <row r="112" spans="1:16" ht="20.25" x14ac:dyDescent="0.3">
      <c r="A112" s="486">
        <v>102</v>
      </c>
      <c r="B112" s="129" t="s">
        <v>774</v>
      </c>
      <c r="C112" s="126" t="s">
        <v>775</v>
      </c>
      <c r="D112" s="130">
        <v>20</v>
      </c>
      <c r="E112" s="130"/>
      <c r="F112" s="119" t="s">
        <v>658</v>
      </c>
      <c r="G112" s="147">
        <v>4.3890000000000002</v>
      </c>
      <c r="H112" s="128">
        <v>2.9000000000000001E-2</v>
      </c>
      <c r="I112" s="128">
        <f t="shared" si="24"/>
        <v>1.61E-2</v>
      </c>
      <c r="J112" s="128">
        <f t="shared" si="25"/>
        <v>3.7579999999999995E-2</v>
      </c>
      <c r="K112" s="128">
        <f t="shared" si="26"/>
        <v>6.658E-2</v>
      </c>
      <c r="L112" s="128">
        <f t="shared" si="27"/>
        <v>4.4555800000000003</v>
      </c>
      <c r="M112" s="469">
        <f t="shared" si="28"/>
        <v>22.092079999999999</v>
      </c>
      <c r="N112" s="469">
        <f t="shared" si="29"/>
        <v>22.1</v>
      </c>
      <c r="O112" s="469">
        <f t="shared" si="30"/>
        <v>22</v>
      </c>
      <c r="P112" s="487">
        <f t="shared" si="31"/>
        <v>22000</v>
      </c>
    </row>
    <row r="113" spans="1:16" ht="20.25" x14ac:dyDescent="0.3">
      <c r="A113" s="486">
        <v>103</v>
      </c>
      <c r="B113" s="129" t="s">
        <v>776</v>
      </c>
      <c r="C113" s="126" t="s">
        <v>678</v>
      </c>
      <c r="D113" s="130">
        <v>10</v>
      </c>
      <c r="E113" s="130">
        <v>20</v>
      </c>
      <c r="F113" s="119" t="s">
        <v>658</v>
      </c>
      <c r="G113" s="147">
        <v>9</v>
      </c>
      <c r="H113" s="128">
        <v>2.9000000000000001E-2</v>
      </c>
      <c r="I113" s="128">
        <f t="shared" si="24"/>
        <v>1.61E-2</v>
      </c>
      <c r="J113" s="128">
        <f t="shared" si="25"/>
        <v>3.7579999999999995E-2</v>
      </c>
      <c r="K113" s="128">
        <f t="shared" si="26"/>
        <v>6.658E-2</v>
      </c>
      <c r="L113" s="128">
        <f t="shared" si="27"/>
        <v>9.0665800000000001</v>
      </c>
      <c r="M113" s="469">
        <f t="shared" si="28"/>
        <v>45.147080000000003</v>
      </c>
      <c r="N113" s="469">
        <f t="shared" si="29"/>
        <v>45.1</v>
      </c>
      <c r="O113" s="469">
        <f t="shared" si="30"/>
        <v>45</v>
      </c>
      <c r="P113" s="487">
        <f t="shared" si="31"/>
        <v>45000</v>
      </c>
    </row>
    <row r="114" spans="1:16" ht="20.25" x14ac:dyDescent="0.3">
      <c r="A114" s="486">
        <v>104</v>
      </c>
      <c r="B114" s="129" t="s">
        <v>777</v>
      </c>
      <c r="C114" s="126" t="s">
        <v>678</v>
      </c>
      <c r="D114" s="130">
        <v>12</v>
      </c>
      <c r="E114" s="130"/>
      <c r="F114" s="119" t="s">
        <v>658</v>
      </c>
      <c r="G114" s="147">
        <v>18.55</v>
      </c>
      <c r="H114" s="128">
        <v>2.9000000000000001E-2</v>
      </c>
      <c r="I114" s="128">
        <f t="shared" si="24"/>
        <v>1.61E-2</v>
      </c>
      <c r="J114" s="128">
        <f t="shared" si="25"/>
        <v>3.7579999999999995E-2</v>
      </c>
      <c r="K114" s="128">
        <f t="shared" si="26"/>
        <v>6.658E-2</v>
      </c>
      <c r="L114" s="128">
        <f t="shared" si="27"/>
        <v>18.616579999999999</v>
      </c>
      <c r="M114" s="469">
        <f t="shared" si="28"/>
        <v>92.897080000000017</v>
      </c>
      <c r="N114" s="469">
        <f t="shared" si="29"/>
        <v>92.9</v>
      </c>
      <c r="O114" s="469">
        <f t="shared" si="30"/>
        <v>93</v>
      </c>
      <c r="P114" s="487">
        <f t="shared" si="31"/>
        <v>93000</v>
      </c>
    </row>
    <row r="115" spans="1:16" ht="20.25" x14ac:dyDescent="0.3">
      <c r="A115" s="486">
        <v>105</v>
      </c>
      <c r="B115" s="129" t="s">
        <v>778</v>
      </c>
      <c r="C115" s="129" t="s">
        <v>754</v>
      </c>
      <c r="D115" s="131">
        <v>0.1</v>
      </c>
      <c r="E115" s="130">
        <v>10</v>
      </c>
      <c r="F115" s="119" t="s">
        <v>658</v>
      </c>
      <c r="G115" s="147">
        <v>20.457000000000001</v>
      </c>
      <c r="H115" s="128">
        <v>2.9000000000000001E-2</v>
      </c>
      <c r="I115" s="128">
        <f t="shared" si="24"/>
        <v>1.61E-2</v>
      </c>
      <c r="J115" s="128">
        <f t="shared" si="25"/>
        <v>3.7579999999999995E-2</v>
      </c>
      <c r="K115" s="128">
        <f t="shared" si="26"/>
        <v>6.658E-2</v>
      </c>
      <c r="L115" s="128">
        <f t="shared" si="27"/>
        <v>20.523579999999999</v>
      </c>
      <c r="M115" s="469">
        <f t="shared" si="28"/>
        <v>102.43208000000001</v>
      </c>
      <c r="N115" s="469">
        <f t="shared" si="29"/>
        <v>102.4</v>
      </c>
      <c r="O115" s="469">
        <f t="shared" si="30"/>
        <v>102</v>
      </c>
      <c r="P115" s="487">
        <f t="shared" si="31"/>
        <v>102000</v>
      </c>
    </row>
    <row r="116" spans="1:16" ht="20.25" x14ac:dyDescent="0.3">
      <c r="A116" s="486">
        <v>106</v>
      </c>
      <c r="B116" s="129" t="s">
        <v>779</v>
      </c>
      <c r="C116" s="126" t="s">
        <v>667</v>
      </c>
      <c r="D116" s="130">
        <v>1</v>
      </c>
      <c r="E116" s="130">
        <v>10</v>
      </c>
      <c r="F116" s="119" t="s">
        <v>658</v>
      </c>
      <c r="G116" s="147">
        <v>152.60599999999999</v>
      </c>
      <c r="H116" s="128">
        <v>2.9000000000000001E-2</v>
      </c>
      <c r="I116" s="128">
        <f t="shared" si="24"/>
        <v>1.61E-2</v>
      </c>
      <c r="J116" s="128">
        <f t="shared" si="25"/>
        <v>3.7579999999999995E-2</v>
      </c>
      <c r="K116" s="128">
        <f t="shared" si="26"/>
        <v>6.658E-2</v>
      </c>
      <c r="L116" s="128">
        <f t="shared" si="27"/>
        <v>152.67257999999998</v>
      </c>
      <c r="M116" s="469">
        <f t="shared" si="28"/>
        <v>763.17708000000005</v>
      </c>
      <c r="N116" s="469">
        <f t="shared" si="29"/>
        <v>763.2</v>
      </c>
      <c r="O116" s="469">
        <f t="shared" si="30"/>
        <v>763</v>
      </c>
      <c r="P116" s="487">
        <f t="shared" si="31"/>
        <v>763000</v>
      </c>
    </row>
    <row r="117" spans="1:16" ht="20.25" x14ac:dyDescent="0.3">
      <c r="A117" s="486"/>
      <c r="B117" s="145" t="s">
        <v>780</v>
      </c>
      <c r="C117" s="126"/>
      <c r="D117" s="130"/>
      <c r="E117" s="130"/>
      <c r="F117" s="146"/>
      <c r="G117" s="147"/>
      <c r="H117" s="147"/>
      <c r="I117" s="147"/>
      <c r="J117" s="147"/>
      <c r="K117" s="147"/>
      <c r="L117" s="147"/>
      <c r="M117" s="469"/>
      <c r="N117" s="469"/>
      <c r="O117" s="500"/>
      <c r="P117" s="487">
        <f t="shared" si="31"/>
        <v>0</v>
      </c>
    </row>
    <row r="118" spans="1:16" ht="20.25" x14ac:dyDescent="0.3">
      <c r="A118" s="486">
        <v>107</v>
      </c>
      <c r="B118" s="129" t="s">
        <v>781</v>
      </c>
      <c r="C118" s="126" t="s">
        <v>660</v>
      </c>
      <c r="D118" s="130">
        <v>20</v>
      </c>
      <c r="E118" s="130"/>
      <c r="F118" s="119" t="s">
        <v>658</v>
      </c>
      <c r="G118" s="147">
        <v>38.844999999999999</v>
      </c>
      <c r="H118" s="128">
        <v>2.9000000000000001E-2</v>
      </c>
      <c r="I118" s="128">
        <f t="shared" ref="I118:I137" si="32">16.1/1000</f>
        <v>1.61E-2</v>
      </c>
      <c r="J118" s="128">
        <f t="shared" ref="J118:J137" si="33">(53.68-16.1)/1000</f>
        <v>3.7579999999999995E-2</v>
      </c>
      <c r="K118" s="128">
        <f t="shared" ref="K118:K137" si="34">H118+J118</f>
        <v>6.658E-2</v>
      </c>
      <c r="L118" s="128">
        <f t="shared" ref="L118:L137" si="35">G118+K118</f>
        <v>38.911580000000001</v>
      </c>
      <c r="M118" s="469">
        <f t="shared" ref="M118:M137" si="36">(G118+I118)*5+K118</f>
        <v>194.37207999999998</v>
      </c>
      <c r="N118" s="469">
        <f t="shared" ref="N118:N137" si="37">ROUND(M118,1)</f>
        <v>194.4</v>
      </c>
      <c r="O118" s="469">
        <f t="shared" ref="O118:O137" si="38">ROUND(M118,0)</f>
        <v>194</v>
      </c>
      <c r="P118" s="487">
        <f t="shared" si="31"/>
        <v>194000</v>
      </c>
    </row>
    <row r="119" spans="1:16" ht="20.25" x14ac:dyDescent="0.3">
      <c r="A119" s="486">
        <v>108</v>
      </c>
      <c r="B119" s="129" t="s">
        <v>782</v>
      </c>
      <c r="C119" s="129" t="s">
        <v>783</v>
      </c>
      <c r="D119" s="130"/>
      <c r="E119" s="130"/>
      <c r="F119" s="119" t="s">
        <v>658</v>
      </c>
      <c r="G119" s="147">
        <v>366.46800000000002</v>
      </c>
      <c r="H119" s="128">
        <v>2.9000000000000001E-2</v>
      </c>
      <c r="I119" s="128">
        <f t="shared" si="32"/>
        <v>1.61E-2</v>
      </c>
      <c r="J119" s="128">
        <f t="shared" si="33"/>
        <v>3.7579999999999995E-2</v>
      </c>
      <c r="K119" s="128">
        <f t="shared" si="34"/>
        <v>6.658E-2</v>
      </c>
      <c r="L119" s="128">
        <f t="shared" si="35"/>
        <v>366.53458000000001</v>
      </c>
      <c r="M119" s="469">
        <f t="shared" si="36"/>
        <v>1832.4870800000001</v>
      </c>
      <c r="N119" s="469">
        <f t="shared" si="37"/>
        <v>1832.5</v>
      </c>
      <c r="O119" s="469">
        <f t="shared" si="38"/>
        <v>1832</v>
      </c>
      <c r="P119" s="487">
        <f t="shared" si="31"/>
        <v>1832000</v>
      </c>
    </row>
    <row r="120" spans="1:16" ht="20.25" x14ac:dyDescent="0.3">
      <c r="A120" s="486">
        <v>109</v>
      </c>
      <c r="B120" s="129" t="s">
        <v>784</v>
      </c>
      <c r="C120" s="126" t="s">
        <v>657</v>
      </c>
      <c r="D120" s="130">
        <v>20</v>
      </c>
      <c r="E120" s="130"/>
      <c r="F120" s="119" t="s">
        <v>658</v>
      </c>
      <c r="G120" s="147">
        <v>15.9</v>
      </c>
      <c r="H120" s="128">
        <v>2.9000000000000001E-2</v>
      </c>
      <c r="I120" s="128">
        <f t="shared" si="32"/>
        <v>1.61E-2</v>
      </c>
      <c r="J120" s="128">
        <f t="shared" si="33"/>
        <v>3.7579999999999995E-2</v>
      </c>
      <c r="K120" s="128">
        <f t="shared" si="34"/>
        <v>6.658E-2</v>
      </c>
      <c r="L120" s="128">
        <f t="shared" si="35"/>
        <v>15.96658</v>
      </c>
      <c r="M120" s="469">
        <f t="shared" si="36"/>
        <v>79.647080000000003</v>
      </c>
      <c r="N120" s="469">
        <f t="shared" si="37"/>
        <v>79.599999999999994</v>
      </c>
      <c r="O120" s="469">
        <f t="shared" si="38"/>
        <v>80</v>
      </c>
      <c r="P120" s="487">
        <f t="shared" si="31"/>
        <v>80000</v>
      </c>
    </row>
    <row r="121" spans="1:16" ht="20.25" x14ac:dyDescent="0.3">
      <c r="A121" s="486">
        <v>110</v>
      </c>
      <c r="B121" s="129" t="s">
        <v>785</v>
      </c>
      <c r="C121" s="126" t="s">
        <v>775</v>
      </c>
      <c r="D121" s="130">
        <v>20</v>
      </c>
      <c r="E121" s="130"/>
      <c r="F121" s="119" t="s">
        <v>658</v>
      </c>
      <c r="G121" s="147">
        <v>3.6059999999999999</v>
      </c>
      <c r="H121" s="128">
        <v>2.9000000000000001E-2</v>
      </c>
      <c r="I121" s="128">
        <f t="shared" si="32"/>
        <v>1.61E-2</v>
      </c>
      <c r="J121" s="128">
        <f t="shared" si="33"/>
        <v>3.7579999999999995E-2</v>
      </c>
      <c r="K121" s="128">
        <f t="shared" si="34"/>
        <v>6.658E-2</v>
      </c>
      <c r="L121" s="128">
        <f t="shared" si="35"/>
        <v>3.67258</v>
      </c>
      <c r="M121" s="469">
        <f t="shared" si="36"/>
        <v>18.177079999999997</v>
      </c>
      <c r="N121" s="469">
        <f t="shared" si="37"/>
        <v>18.2</v>
      </c>
      <c r="O121" s="469">
        <f t="shared" si="38"/>
        <v>18</v>
      </c>
      <c r="P121" s="487">
        <f t="shared" si="31"/>
        <v>18000</v>
      </c>
    </row>
    <row r="122" spans="1:16" ht="20.25" x14ac:dyDescent="0.3">
      <c r="A122" s="486">
        <v>111</v>
      </c>
      <c r="B122" s="129" t="s">
        <v>786</v>
      </c>
      <c r="C122" s="126" t="s">
        <v>660</v>
      </c>
      <c r="D122" s="130">
        <v>1</v>
      </c>
      <c r="E122" s="130">
        <v>5</v>
      </c>
      <c r="F122" s="119" t="s">
        <v>658</v>
      </c>
      <c r="G122" s="147">
        <v>258.04300000000001</v>
      </c>
      <c r="H122" s="128">
        <v>2.9000000000000001E-2</v>
      </c>
      <c r="I122" s="128">
        <f t="shared" si="32"/>
        <v>1.61E-2</v>
      </c>
      <c r="J122" s="128">
        <f t="shared" si="33"/>
        <v>3.7579999999999995E-2</v>
      </c>
      <c r="K122" s="128">
        <f t="shared" si="34"/>
        <v>6.658E-2</v>
      </c>
      <c r="L122" s="128">
        <f t="shared" si="35"/>
        <v>258.10957999999999</v>
      </c>
      <c r="M122" s="469">
        <f t="shared" si="36"/>
        <v>1290.3620799999999</v>
      </c>
      <c r="N122" s="469">
        <f t="shared" si="37"/>
        <v>1290.4000000000001</v>
      </c>
      <c r="O122" s="469">
        <f t="shared" si="38"/>
        <v>1290</v>
      </c>
      <c r="P122" s="487">
        <f t="shared" si="31"/>
        <v>1290000</v>
      </c>
    </row>
    <row r="123" spans="1:16" ht="20.25" x14ac:dyDescent="0.3">
      <c r="A123" s="486">
        <v>112</v>
      </c>
      <c r="B123" s="129" t="s">
        <v>787</v>
      </c>
      <c r="C123" s="126" t="s">
        <v>657</v>
      </c>
      <c r="D123" s="130">
        <v>1</v>
      </c>
      <c r="E123" s="130">
        <v>20</v>
      </c>
      <c r="F123" s="119" t="s">
        <v>658</v>
      </c>
      <c r="G123" s="147">
        <v>47.7</v>
      </c>
      <c r="H123" s="128">
        <v>2.9000000000000001E-2</v>
      </c>
      <c r="I123" s="128">
        <f t="shared" si="32"/>
        <v>1.61E-2</v>
      </c>
      <c r="J123" s="128">
        <f t="shared" si="33"/>
        <v>3.7579999999999995E-2</v>
      </c>
      <c r="K123" s="128">
        <f t="shared" si="34"/>
        <v>6.658E-2</v>
      </c>
      <c r="L123" s="128">
        <f t="shared" si="35"/>
        <v>47.766580000000005</v>
      </c>
      <c r="M123" s="469">
        <f t="shared" si="36"/>
        <v>238.64708000000002</v>
      </c>
      <c r="N123" s="469">
        <f t="shared" si="37"/>
        <v>238.6</v>
      </c>
      <c r="O123" s="469">
        <f t="shared" si="38"/>
        <v>239</v>
      </c>
      <c r="P123" s="487">
        <f t="shared" ref="P123:P150" si="39">O123*1000</f>
        <v>239000</v>
      </c>
    </row>
    <row r="124" spans="1:16" ht="20.25" x14ac:dyDescent="0.3">
      <c r="A124" s="486">
        <v>113</v>
      </c>
      <c r="B124" s="129" t="s">
        <v>788</v>
      </c>
      <c r="C124" s="126" t="s">
        <v>657</v>
      </c>
      <c r="D124" s="130">
        <v>10</v>
      </c>
      <c r="E124" s="130"/>
      <c r="F124" s="119" t="s">
        <v>658</v>
      </c>
      <c r="G124" s="147">
        <v>10.494</v>
      </c>
      <c r="H124" s="128">
        <v>2.9000000000000001E-2</v>
      </c>
      <c r="I124" s="128">
        <f t="shared" si="32"/>
        <v>1.61E-2</v>
      </c>
      <c r="J124" s="128">
        <f t="shared" si="33"/>
        <v>3.7579999999999995E-2</v>
      </c>
      <c r="K124" s="128">
        <f t="shared" si="34"/>
        <v>6.658E-2</v>
      </c>
      <c r="L124" s="128">
        <f t="shared" si="35"/>
        <v>10.56058</v>
      </c>
      <c r="M124" s="469">
        <f t="shared" si="36"/>
        <v>52.617080000000001</v>
      </c>
      <c r="N124" s="469">
        <f t="shared" si="37"/>
        <v>52.6</v>
      </c>
      <c r="O124" s="469">
        <f t="shared" si="38"/>
        <v>53</v>
      </c>
      <c r="P124" s="487">
        <f t="shared" si="39"/>
        <v>53000</v>
      </c>
    </row>
    <row r="125" spans="1:16" ht="20.25" x14ac:dyDescent="0.3">
      <c r="A125" s="486">
        <v>114</v>
      </c>
      <c r="B125" s="129" t="s">
        <v>789</v>
      </c>
      <c r="C125" s="126" t="s">
        <v>667</v>
      </c>
      <c r="D125" s="130">
        <v>20</v>
      </c>
      <c r="E125" s="130"/>
      <c r="F125" s="119" t="s">
        <v>658</v>
      </c>
      <c r="G125" s="147">
        <v>50</v>
      </c>
      <c r="H125" s="128">
        <v>2.9000000000000001E-2</v>
      </c>
      <c r="I125" s="128">
        <f t="shared" si="32"/>
        <v>1.61E-2</v>
      </c>
      <c r="J125" s="128">
        <f t="shared" si="33"/>
        <v>3.7579999999999995E-2</v>
      </c>
      <c r="K125" s="128">
        <f t="shared" si="34"/>
        <v>6.658E-2</v>
      </c>
      <c r="L125" s="128">
        <f t="shared" si="35"/>
        <v>50.066580000000002</v>
      </c>
      <c r="M125" s="469">
        <f t="shared" si="36"/>
        <v>250.14707999999999</v>
      </c>
      <c r="N125" s="469">
        <f t="shared" si="37"/>
        <v>250.1</v>
      </c>
      <c r="O125" s="469">
        <f t="shared" si="38"/>
        <v>250</v>
      </c>
      <c r="P125" s="487">
        <f t="shared" si="39"/>
        <v>250000</v>
      </c>
    </row>
    <row r="126" spans="1:16" ht="20.25" x14ac:dyDescent="0.3">
      <c r="A126" s="486">
        <v>115</v>
      </c>
      <c r="B126" s="129" t="s">
        <v>790</v>
      </c>
      <c r="C126" s="126" t="s">
        <v>678</v>
      </c>
      <c r="D126" s="130">
        <v>20</v>
      </c>
      <c r="E126" s="130"/>
      <c r="F126" s="119" t="s">
        <v>658</v>
      </c>
      <c r="G126" s="147">
        <v>8.5869999999999997</v>
      </c>
      <c r="H126" s="128">
        <v>2.9000000000000001E-2</v>
      </c>
      <c r="I126" s="128">
        <f t="shared" si="32"/>
        <v>1.61E-2</v>
      </c>
      <c r="J126" s="128">
        <f t="shared" si="33"/>
        <v>3.7579999999999995E-2</v>
      </c>
      <c r="K126" s="128">
        <f t="shared" si="34"/>
        <v>6.658E-2</v>
      </c>
      <c r="L126" s="128">
        <f t="shared" si="35"/>
        <v>8.6535799999999998</v>
      </c>
      <c r="M126" s="469">
        <f t="shared" si="36"/>
        <v>43.082079999999998</v>
      </c>
      <c r="N126" s="469">
        <f t="shared" si="37"/>
        <v>43.1</v>
      </c>
      <c r="O126" s="469">
        <f t="shared" si="38"/>
        <v>43</v>
      </c>
      <c r="P126" s="487">
        <f t="shared" si="39"/>
        <v>43000</v>
      </c>
    </row>
    <row r="127" spans="1:16" ht="20.25" x14ac:dyDescent="0.3">
      <c r="A127" s="486">
        <v>116</v>
      </c>
      <c r="B127" s="126" t="s">
        <v>791</v>
      </c>
      <c r="C127" s="126" t="s">
        <v>792</v>
      </c>
      <c r="D127" s="130">
        <v>20</v>
      </c>
      <c r="E127" s="130"/>
      <c r="F127" s="119" t="s">
        <v>658</v>
      </c>
      <c r="G127" s="147">
        <v>11.557</v>
      </c>
      <c r="H127" s="128">
        <v>2.9000000000000001E-2</v>
      </c>
      <c r="I127" s="128">
        <f t="shared" si="32"/>
        <v>1.61E-2</v>
      </c>
      <c r="J127" s="128">
        <f t="shared" si="33"/>
        <v>3.7579999999999995E-2</v>
      </c>
      <c r="K127" s="128">
        <f t="shared" si="34"/>
        <v>6.658E-2</v>
      </c>
      <c r="L127" s="128">
        <f t="shared" si="35"/>
        <v>11.62358</v>
      </c>
      <c r="M127" s="469">
        <f t="shared" si="36"/>
        <v>57.932079999999999</v>
      </c>
      <c r="N127" s="469">
        <f t="shared" si="37"/>
        <v>57.9</v>
      </c>
      <c r="O127" s="469">
        <f t="shared" si="38"/>
        <v>58</v>
      </c>
      <c r="P127" s="487">
        <f t="shared" si="39"/>
        <v>58000</v>
      </c>
    </row>
    <row r="128" spans="1:16" ht="20.25" x14ac:dyDescent="0.3">
      <c r="A128" s="486">
        <v>117</v>
      </c>
      <c r="B128" s="129" t="s">
        <v>793</v>
      </c>
      <c r="C128" s="126" t="s">
        <v>660</v>
      </c>
      <c r="D128" s="130">
        <v>20</v>
      </c>
      <c r="E128" s="130"/>
      <c r="F128" s="119" t="s">
        <v>658</v>
      </c>
      <c r="G128" s="147">
        <v>43.7</v>
      </c>
      <c r="H128" s="128">
        <v>2.9000000000000001E-2</v>
      </c>
      <c r="I128" s="128">
        <f t="shared" si="32"/>
        <v>1.61E-2</v>
      </c>
      <c r="J128" s="128">
        <f t="shared" si="33"/>
        <v>3.7579999999999995E-2</v>
      </c>
      <c r="K128" s="128">
        <f t="shared" si="34"/>
        <v>6.658E-2</v>
      </c>
      <c r="L128" s="128">
        <f t="shared" si="35"/>
        <v>43.766580000000005</v>
      </c>
      <c r="M128" s="469">
        <f t="shared" si="36"/>
        <v>218.64708000000002</v>
      </c>
      <c r="N128" s="469">
        <f t="shared" si="37"/>
        <v>218.6</v>
      </c>
      <c r="O128" s="469">
        <f t="shared" si="38"/>
        <v>219</v>
      </c>
      <c r="P128" s="487">
        <f t="shared" si="39"/>
        <v>219000</v>
      </c>
    </row>
    <row r="129" spans="1:16" ht="20.25" x14ac:dyDescent="0.3">
      <c r="A129" s="486">
        <v>118</v>
      </c>
      <c r="B129" s="129" t="s">
        <v>794</v>
      </c>
      <c r="C129" s="126" t="s">
        <v>662</v>
      </c>
      <c r="D129" s="130">
        <v>5</v>
      </c>
      <c r="E129" s="130">
        <v>20</v>
      </c>
      <c r="F129" s="119" t="s">
        <v>658</v>
      </c>
      <c r="G129" s="147">
        <v>9.01</v>
      </c>
      <c r="H129" s="128">
        <v>2.9000000000000001E-2</v>
      </c>
      <c r="I129" s="128">
        <f t="shared" si="32"/>
        <v>1.61E-2</v>
      </c>
      <c r="J129" s="128">
        <f t="shared" si="33"/>
        <v>3.7579999999999995E-2</v>
      </c>
      <c r="K129" s="128">
        <f t="shared" si="34"/>
        <v>6.658E-2</v>
      </c>
      <c r="L129" s="128">
        <f t="shared" si="35"/>
        <v>9.0765799999999999</v>
      </c>
      <c r="M129" s="469">
        <f t="shared" si="36"/>
        <v>45.19708</v>
      </c>
      <c r="N129" s="469">
        <f t="shared" si="37"/>
        <v>45.2</v>
      </c>
      <c r="O129" s="469">
        <f t="shared" si="38"/>
        <v>45</v>
      </c>
      <c r="P129" s="487">
        <f t="shared" si="39"/>
        <v>45000</v>
      </c>
    </row>
    <row r="130" spans="1:16" ht="20.25" x14ac:dyDescent="0.3">
      <c r="A130" s="486">
        <v>119</v>
      </c>
      <c r="B130" s="129" t="s">
        <v>795</v>
      </c>
      <c r="C130" s="126" t="s">
        <v>667</v>
      </c>
      <c r="D130" s="130">
        <v>1</v>
      </c>
      <c r="E130" s="130">
        <v>10</v>
      </c>
      <c r="F130" s="119" t="s">
        <v>658</v>
      </c>
      <c r="G130" s="147">
        <v>25.373999999999999</v>
      </c>
      <c r="H130" s="128">
        <v>2.9000000000000001E-2</v>
      </c>
      <c r="I130" s="128">
        <f t="shared" si="32"/>
        <v>1.61E-2</v>
      </c>
      <c r="J130" s="128">
        <f t="shared" si="33"/>
        <v>3.7579999999999995E-2</v>
      </c>
      <c r="K130" s="128">
        <f t="shared" si="34"/>
        <v>6.658E-2</v>
      </c>
      <c r="L130" s="128">
        <f t="shared" si="35"/>
        <v>25.440579999999997</v>
      </c>
      <c r="M130" s="469">
        <f t="shared" si="36"/>
        <v>127.01708000000001</v>
      </c>
      <c r="N130" s="469">
        <f t="shared" si="37"/>
        <v>127</v>
      </c>
      <c r="O130" s="469">
        <f t="shared" si="38"/>
        <v>127</v>
      </c>
      <c r="P130" s="487">
        <f t="shared" si="39"/>
        <v>127000</v>
      </c>
    </row>
    <row r="131" spans="1:16" ht="20.25" x14ac:dyDescent="0.3">
      <c r="A131" s="486">
        <v>120</v>
      </c>
      <c r="B131" s="129" t="s">
        <v>796</v>
      </c>
      <c r="C131" s="126" t="s">
        <v>775</v>
      </c>
      <c r="D131" s="130">
        <v>20</v>
      </c>
      <c r="E131" s="130"/>
      <c r="F131" s="119" t="s">
        <v>658</v>
      </c>
      <c r="G131" s="147">
        <v>4.4130000000000003</v>
      </c>
      <c r="H131" s="128">
        <v>2.9000000000000001E-2</v>
      </c>
      <c r="I131" s="128">
        <f t="shared" si="32"/>
        <v>1.61E-2</v>
      </c>
      <c r="J131" s="128">
        <f t="shared" si="33"/>
        <v>3.7579999999999995E-2</v>
      </c>
      <c r="K131" s="128">
        <f t="shared" si="34"/>
        <v>6.658E-2</v>
      </c>
      <c r="L131" s="128">
        <f t="shared" si="35"/>
        <v>4.4795800000000003</v>
      </c>
      <c r="M131" s="469">
        <f t="shared" si="36"/>
        <v>22.212079999999997</v>
      </c>
      <c r="N131" s="469">
        <f t="shared" si="37"/>
        <v>22.2</v>
      </c>
      <c r="O131" s="469">
        <f t="shared" si="38"/>
        <v>22</v>
      </c>
      <c r="P131" s="487">
        <f t="shared" si="39"/>
        <v>22000</v>
      </c>
    </row>
    <row r="132" spans="1:16" ht="20.25" x14ac:dyDescent="0.3">
      <c r="A132" s="486">
        <v>121</v>
      </c>
      <c r="B132" s="129" t="s">
        <v>797</v>
      </c>
      <c r="C132" s="126" t="s">
        <v>667</v>
      </c>
      <c r="D132" s="130">
        <v>25</v>
      </c>
      <c r="E132" s="130"/>
      <c r="F132" s="119" t="s">
        <v>658</v>
      </c>
      <c r="G132" s="147">
        <v>22.571000000000002</v>
      </c>
      <c r="H132" s="128">
        <v>2.9000000000000001E-2</v>
      </c>
      <c r="I132" s="128">
        <f t="shared" si="32"/>
        <v>1.61E-2</v>
      </c>
      <c r="J132" s="128">
        <f t="shared" si="33"/>
        <v>3.7579999999999995E-2</v>
      </c>
      <c r="K132" s="128">
        <f t="shared" si="34"/>
        <v>6.658E-2</v>
      </c>
      <c r="L132" s="128">
        <f t="shared" si="35"/>
        <v>22.63758</v>
      </c>
      <c r="M132" s="469">
        <f t="shared" si="36"/>
        <v>113.00208000000002</v>
      </c>
      <c r="N132" s="469">
        <f t="shared" si="37"/>
        <v>113</v>
      </c>
      <c r="O132" s="469">
        <f t="shared" si="38"/>
        <v>113</v>
      </c>
      <c r="P132" s="487">
        <f t="shared" si="39"/>
        <v>113000</v>
      </c>
    </row>
    <row r="133" spans="1:16" ht="20.25" x14ac:dyDescent="0.3">
      <c r="A133" s="486">
        <v>122</v>
      </c>
      <c r="B133" s="129" t="s">
        <v>798</v>
      </c>
      <c r="C133" s="126" t="s">
        <v>657</v>
      </c>
      <c r="D133" s="130">
        <v>20</v>
      </c>
      <c r="E133" s="130"/>
      <c r="F133" s="119" t="s">
        <v>658</v>
      </c>
      <c r="G133" s="147">
        <v>5.9889999999999999</v>
      </c>
      <c r="H133" s="128">
        <v>2.9000000000000001E-2</v>
      </c>
      <c r="I133" s="128">
        <f t="shared" si="32"/>
        <v>1.61E-2</v>
      </c>
      <c r="J133" s="128">
        <f t="shared" si="33"/>
        <v>3.7579999999999995E-2</v>
      </c>
      <c r="K133" s="128">
        <f t="shared" si="34"/>
        <v>6.658E-2</v>
      </c>
      <c r="L133" s="128">
        <f t="shared" si="35"/>
        <v>6.05558</v>
      </c>
      <c r="M133" s="469">
        <f t="shared" si="36"/>
        <v>30.092079999999996</v>
      </c>
      <c r="N133" s="469">
        <f t="shared" si="37"/>
        <v>30.1</v>
      </c>
      <c r="O133" s="469">
        <f t="shared" si="38"/>
        <v>30</v>
      </c>
      <c r="P133" s="487">
        <f t="shared" si="39"/>
        <v>30000</v>
      </c>
    </row>
    <row r="134" spans="1:16" ht="20.25" x14ac:dyDescent="0.3">
      <c r="A134" s="486">
        <v>123</v>
      </c>
      <c r="B134" s="129" t="s">
        <v>799</v>
      </c>
      <c r="C134" s="126" t="s">
        <v>662</v>
      </c>
      <c r="D134" s="130">
        <v>10</v>
      </c>
      <c r="E134" s="130"/>
      <c r="F134" s="119" t="s">
        <v>658</v>
      </c>
      <c r="G134" s="147">
        <v>15.37</v>
      </c>
      <c r="H134" s="128">
        <v>2.9000000000000001E-2</v>
      </c>
      <c r="I134" s="128">
        <f t="shared" si="32"/>
        <v>1.61E-2</v>
      </c>
      <c r="J134" s="128">
        <f t="shared" si="33"/>
        <v>3.7579999999999995E-2</v>
      </c>
      <c r="K134" s="128">
        <f t="shared" si="34"/>
        <v>6.658E-2</v>
      </c>
      <c r="L134" s="128">
        <f t="shared" si="35"/>
        <v>15.436579999999999</v>
      </c>
      <c r="M134" s="469">
        <f t="shared" si="36"/>
        <v>76.997079999999997</v>
      </c>
      <c r="N134" s="469">
        <f t="shared" si="37"/>
        <v>77</v>
      </c>
      <c r="O134" s="469">
        <f t="shared" si="38"/>
        <v>77</v>
      </c>
      <c r="P134" s="487">
        <f t="shared" si="39"/>
        <v>77000</v>
      </c>
    </row>
    <row r="135" spans="1:16" ht="20.25" x14ac:dyDescent="0.3">
      <c r="A135" s="486">
        <v>124</v>
      </c>
      <c r="B135" s="129" t="s">
        <v>800</v>
      </c>
      <c r="C135" s="126" t="s">
        <v>662</v>
      </c>
      <c r="D135" s="130">
        <v>10</v>
      </c>
      <c r="E135" s="130"/>
      <c r="F135" s="119" t="s">
        <v>658</v>
      </c>
      <c r="G135" s="147">
        <v>25.97</v>
      </c>
      <c r="H135" s="128">
        <v>2.9000000000000001E-2</v>
      </c>
      <c r="I135" s="128">
        <f t="shared" si="32"/>
        <v>1.61E-2</v>
      </c>
      <c r="J135" s="128">
        <f t="shared" si="33"/>
        <v>3.7579999999999995E-2</v>
      </c>
      <c r="K135" s="128">
        <f t="shared" si="34"/>
        <v>6.658E-2</v>
      </c>
      <c r="L135" s="128">
        <f t="shared" si="35"/>
        <v>26.036579999999997</v>
      </c>
      <c r="M135" s="469">
        <f t="shared" si="36"/>
        <v>129.99707999999998</v>
      </c>
      <c r="N135" s="469">
        <f t="shared" si="37"/>
        <v>130</v>
      </c>
      <c r="O135" s="469">
        <f t="shared" si="38"/>
        <v>130</v>
      </c>
      <c r="P135" s="487">
        <f t="shared" si="39"/>
        <v>130000</v>
      </c>
    </row>
    <row r="136" spans="1:16" ht="20.25" x14ac:dyDescent="0.3">
      <c r="A136" s="486">
        <v>125</v>
      </c>
      <c r="B136" s="129" t="s">
        <v>801</v>
      </c>
      <c r="C136" s="126" t="s">
        <v>690</v>
      </c>
      <c r="D136" s="130">
        <v>5</v>
      </c>
      <c r="E136" s="130">
        <v>20</v>
      </c>
      <c r="F136" s="119" t="s">
        <v>658</v>
      </c>
      <c r="G136" s="147">
        <v>28.452999999999999</v>
      </c>
      <c r="H136" s="128">
        <v>2.9000000000000001E-2</v>
      </c>
      <c r="I136" s="128">
        <f t="shared" si="32"/>
        <v>1.61E-2</v>
      </c>
      <c r="J136" s="128">
        <f t="shared" si="33"/>
        <v>3.7579999999999995E-2</v>
      </c>
      <c r="K136" s="128">
        <f t="shared" si="34"/>
        <v>6.658E-2</v>
      </c>
      <c r="L136" s="128">
        <f t="shared" si="35"/>
        <v>28.519579999999998</v>
      </c>
      <c r="M136" s="469">
        <f t="shared" si="36"/>
        <v>142.41208</v>
      </c>
      <c r="N136" s="469">
        <f t="shared" si="37"/>
        <v>142.4</v>
      </c>
      <c r="O136" s="469">
        <f t="shared" si="38"/>
        <v>142</v>
      </c>
      <c r="P136" s="487">
        <f t="shared" si="39"/>
        <v>142000</v>
      </c>
    </row>
    <row r="137" spans="1:16" ht="20.25" x14ac:dyDescent="0.3">
      <c r="A137" s="486">
        <v>126</v>
      </c>
      <c r="B137" s="129" t="s">
        <v>802</v>
      </c>
      <c r="C137" s="126" t="s">
        <v>657</v>
      </c>
      <c r="D137" s="130">
        <v>10</v>
      </c>
      <c r="E137" s="130">
        <v>20</v>
      </c>
      <c r="F137" s="119" t="s">
        <v>658</v>
      </c>
      <c r="G137" s="147">
        <v>6.7309999999999999</v>
      </c>
      <c r="H137" s="128">
        <v>2.9000000000000001E-2</v>
      </c>
      <c r="I137" s="128">
        <f t="shared" si="32"/>
        <v>1.61E-2</v>
      </c>
      <c r="J137" s="128">
        <f t="shared" si="33"/>
        <v>3.7579999999999995E-2</v>
      </c>
      <c r="K137" s="128">
        <f t="shared" si="34"/>
        <v>6.658E-2</v>
      </c>
      <c r="L137" s="128">
        <f t="shared" si="35"/>
        <v>6.79758</v>
      </c>
      <c r="M137" s="469">
        <f t="shared" si="36"/>
        <v>33.802080000000004</v>
      </c>
      <c r="N137" s="469">
        <f t="shared" si="37"/>
        <v>33.799999999999997</v>
      </c>
      <c r="O137" s="469">
        <f t="shared" si="38"/>
        <v>34</v>
      </c>
      <c r="P137" s="487">
        <f t="shared" si="39"/>
        <v>34000</v>
      </c>
    </row>
    <row r="138" spans="1:16" ht="20.25" x14ac:dyDescent="0.3">
      <c r="A138" s="486"/>
      <c r="B138" s="145" t="s">
        <v>673</v>
      </c>
      <c r="C138" s="129"/>
      <c r="D138" s="130"/>
      <c r="E138" s="130"/>
      <c r="F138" s="146"/>
      <c r="G138" s="147"/>
      <c r="H138" s="147"/>
      <c r="I138" s="147"/>
      <c r="J138" s="147"/>
      <c r="K138" s="147"/>
      <c r="L138" s="147"/>
      <c r="M138" s="469"/>
      <c r="N138" s="469"/>
      <c r="O138" s="500"/>
      <c r="P138" s="487"/>
    </row>
    <row r="139" spans="1:16" ht="20.25" x14ac:dyDescent="0.3">
      <c r="A139" s="486">
        <v>127</v>
      </c>
      <c r="B139" s="129" t="s">
        <v>803</v>
      </c>
      <c r="C139" s="126" t="s">
        <v>667</v>
      </c>
      <c r="D139" s="130">
        <v>5</v>
      </c>
      <c r="E139" s="130">
        <v>20</v>
      </c>
      <c r="F139" s="119" t="s">
        <v>658</v>
      </c>
      <c r="G139" s="147">
        <v>3.3570000000000002</v>
      </c>
      <c r="H139" s="128">
        <v>2.9000000000000001E-2</v>
      </c>
      <c r="I139" s="128">
        <f t="shared" ref="I139:I150" si="40">16.1/1000</f>
        <v>1.61E-2</v>
      </c>
      <c r="J139" s="128">
        <f t="shared" ref="J139:J150" si="41">(53.68-16.1)/1000</f>
        <v>3.7579999999999995E-2</v>
      </c>
      <c r="K139" s="128">
        <f t="shared" ref="K139:K150" si="42">H139+J139</f>
        <v>6.658E-2</v>
      </c>
      <c r="L139" s="128">
        <f t="shared" ref="L139:L150" si="43">G139+K139</f>
        <v>3.4235800000000003</v>
      </c>
      <c r="M139" s="469">
        <f t="shared" ref="M139:M150" si="44">(G139+I139)*5+K139</f>
        <v>16.932079999999999</v>
      </c>
      <c r="N139" s="469">
        <f t="shared" ref="N139:N150" si="45">ROUND(M139,1)</f>
        <v>16.899999999999999</v>
      </c>
      <c r="O139" s="469">
        <f t="shared" ref="O139:O150" si="46">ROUND(M139,0)</f>
        <v>17</v>
      </c>
      <c r="P139" s="487">
        <f t="shared" si="39"/>
        <v>17000</v>
      </c>
    </row>
    <row r="140" spans="1:16" ht="20.25" x14ac:dyDescent="0.3">
      <c r="A140" s="486">
        <v>128</v>
      </c>
      <c r="B140" s="129" t="s">
        <v>804</v>
      </c>
      <c r="C140" s="126" t="s">
        <v>662</v>
      </c>
      <c r="D140" s="130">
        <v>20</v>
      </c>
      <c r="E140" s="130"/>
      <c r="F140" s="119" t="s">
        <v>658</v>
      </c>
      <c r="G140" s="147">
        <v>9.9640000000000004</v>
      </c>
      <c r="H140" s="128">
        <v>2.9000000000000001E-2</v>
      </c>
      <c r="I140" s="128">
        <f t="shared" si="40"/>
        <v>1.61E-2</v>
      </c>
      <c r="J140" s="128">
        <f t="shared" si="41"/>
        <v>3.7579999999999995E-2</v>
      </c>
      <c r="K140" s="128">
        <f t="shared" si="42"/>
        <v>6.658E-2</v>
      </c>
      <c r="L140" s="128">
        <f t="shared" si="43"/>
        <v>10.03058</v>
      </c>
      <c r="M140" s="469">
        <f t="shared" si="44"/>
        <v>49.967080000000003</v>
      </c>
      <c r="N140" s="469">
        <f t="shared" si="45"/>
        <v>50</v>
      </c>
      <c r="O140" s="469">
        <f t="shared" si="46"/>
        <v>50</v>
      </c>
      <c r="P140" s="487">
        <f t="shared" si="39"/>
        <v>50000</v>
      </c>
    </row>
    <row r="141" spans="1:16" ht="20.25" x14ac:dyDescent="0.3">
      <c r="A141" s="486">
        <v>129</v>
      </c>
      <c r="B141" s="129" t="s">
        <v>805</v>
      </c>
      <c r="C141" s="126" t="s">
        <v>690</v>
      </c>
      <c r="D141" s="130">
        <v>1</v>
      </c>
      <c r="E141" s="130">
        <v>12</v>
      </c>
      <c r="F141" s="119" t="s">
        <v>658</v>
      </c>
      <c r="G141" s="147">
        <v>30.881</v>
      </c>
      <c r="H141" s="128">
        <v>2.9000000000000001E-2</v>
      </c>
      <c r="I141" s="128">
        <f t="shared" si="40"/>
        <v>1.61E-2</v>
      </c>
      <c r="J141" s="128">
        <f t="shared" si="41"/>
        <v>3.7579999999999995E-2</v>
      </c>
      <c r="K141" s="128">
        <f t="shared" si="42"/>
        <v>6.658E-2</v>
      </c>
      <c r="L141" s="128">
        <f t="shared" si="43"/>
        <v>30.947579999999999</v>
      </c>
      <c r="M141" s="469">
        <f t="shared" si="44"/>
        <v>154.55207999999999</v>
      </c>
      <c r="N141" s="469">
        <f t="shared" si="45"/>
        <v>154.6</v>
      </c>
      <c r="O141" s="469">
        <f t="shared" si="46"/>
        <v>155</v>
      </c>
      <c r="P141" s="487">
        <f t="shared" si="39"/>
        <v>155000</v>
      </c>
    </row>
    <row r="142" spans="1:16" ht="20.25" x14ac:dyDescent="0.3">
      <c r="A142" s="486">
        <v>130</v>
      </c>
      <c r="B142" s="129" t="s">
        <v>806</v>
      </c>
      <c r="C142" s="126" t="s">
        <v>662</v>
      </c>
      <c r="D142" s="130">
        <v>5</v>
      </c>
      <c r="E142" s="130">
        <v>20</v>
      </c>
      <c r="F142" s="119" t="s">
        <v>658</v>
      </c>
      <c r="G142" s="147">
        <v>20.67</v>
      </c>
      <c r="H142" s="128">
        <v>2.9000000000000001E-2</v>
      </c>
      <c r="I142" s="128">
        <f t="shared" si="40"/>
        <v>1.61E-2</v>
      </c>
      <c r="J142" s="128">
        <f t="shared" si="41"/>
        <v>3.7579999999999995E-2</v>
      </c>
      <c r="K142" s="128">
        <f t="shared" si="42"/>
        <v>6.658E-2</v>
      </c>
      <c r="L142" s="128">
        <f t="shared" si="43"/>
        <v>20.73658</v>
      </c>
      <c r="M142" s="469">
        <f t="shared" si="44"/>
        <v>103.49708000000003</v>
      </c>
      <c r="N142" s="469">
        <f t="shared" si="45"/>
        <v>103.5</v>
      </c>
      <c r="O142" s="469">
        <f t="shared" si="46"/>
        <v>103</v>
      </c>
      <c r="P142" s="487">
        <f t="shared" si="39"/>
        <v>103000</v>
      </c>
    </row>
    <row r="143" spans="1:16" ht="20.25" x14ac:dyDescent="0.3">
      <c r="A143" s="486">
        <v>131</v>
      </c>
      <c r="B143" s="129" t="s">
        <v>807</v>
      </c>
      <c r="C143" s="126" t="s">
        <v>662</v>
      </c>
      <c r="D143" s="130">
        <v>5</v>
      </c>
      <c r="E143" s="130">
        <v>20</v>
      </c>
      <c r="F143" s="119" t="s">
        <v>658</v>
      </c>
      <c r="G143" s="147">
        <v>65.19</v>
      </c>
      <c r="H143" s="128">
        <v>2.9000000000000001E-2</v>
      </c>
      <c r="I143" s="128">
        <f t="shared" si="40"/>
        <v>1.61E-2</v>
      </c>
      <c r="J143" s="128">
        <f t="shared" si="41"/>
        <v>3.7579999999999995E-2</v>
      </c>
      <c r="K143" s="128">
        <f t="shared" si="42"/>
        <v>6.658E-2</v>
      </c>
      <c r="L143" s="128">
        <f t="shared" si="43"/>
        <v>65.25658</v>
      </c>
      <c r="M143" s="469">
        <f t="shared" si="44"/>
        <v>326.09707999999995</v>
      </c>
      <c r="N143" s="469">
        <f t="shared" si="45"/>
        <v>326.10000000000002</v>
      </c>
      <c r="O143" s="469">
        <f t="shared" si="46"/>
        <v>326</v>
      </c>
      <c r="P143" s="487">
        <f t="shared" si="39"/>
        <v>326000</v>
      </c>
    </row>
    <row r="144" spans="1:16" ht="20.25" x14ac:dyDescent="0.3">
      <c r="A144" s="486">
        <v>132</v>
      </c>
      <c r="B144" s="129" t="s">
        <v>808</v>
      </c>
      <c r="C144" s="126" t="s">
        <v>662</v>
      </c>
      <c r="D144" s="130">
        <v>20</v>
      </c>
      <c r="E144" s="130"/>
      <c r="F144" s="119" t="s">
        <v>658</v>
      </c>
      <c r="G144" s="147">
        <v>55</v>
      </c>
      <c r="H144" s="128">
        <v>2.9000000000000001E-2</v>
      </c>
      <c r="I144" s="128">
        <f t="shared" si="40"/>
        <v>1.61E-2</v>
      </c>
      <c r="J144" s="128">
        <f t="shared" si="41"/>
        <v>3.7579999999999995E-2</v>
      </c>
      <c r="K144" s="128">
        <f t="shared" si="42"/>
        <v>6.658E-2</v>
      </c>
      <c r="L144" s="128">
        <f t="shared" si="43"/>
        <v>55.066580000000002</v>
      </c>
      <c r="M144" s="469">
        <f t="shared" si="44"/>
        <v>275.14708000000002</v>
      </c>
      <c r="N144" s="469">
        <f t="shared" si="45"/>
        <v>275.10000000000002</v>
      </c>
      <c r="O144" s="469">
        <f t="shared" si="46"/>
        <v>275</v>
      </c>
      <c r="P144" s="487">
        <f t="shared" si="39"/>
        <v>275000</v>
      </c>
    </row>
    <row r="145" spans="1:16" ht="20.25" x14ac:dyDescent="0.3">
      <c r="A145" s="486">
        <v>133</v>
      </c>
      <c r="B145" s="129" t="s">
        <v>809</v>
      </c>
      <c r="C145" s="126" t="s">
        <v>690</v>
      </c>
      <c r="D145" s="130">
        <v>12</v>
      </c>
      <c r="E145" s="130"/>
      <c r="F145" s="119" t="s">
        <v>658</v>
      </c>
      <c r="G145" s="147">
        <v>4.2169999999999996</v>
      </c>
      <c r="H145" s="128">
        <v>2.9000000000000001E-2</v>
      </c>
      <c r="I145" s="128">
        <f t="shared" si="40"/>
        <v>1.61E-2</v>
      </c>
      <c r="J145" s="128">
        <f t="shared" si="41"/>
        <v>3.7579999999999995E-2</v>
      </c>
      <c r="K145" s="128">
        <f t="shared" si="42"/>
        <v>6.658E-2</v>
      </c>
      <c r="L145" s="128">
        <f t="shared" si="43"/>
        <v>4.2835799999999997</v>
      </c>
      <c r="M145" s="469">
        <f t="shared" si="44"/>
        <v>21.232079999999996</v>
      </c>
      <c r="N145" s="469">
        <f t="shared" si="45"/>
        <v>21.2</v>
      </c>
      <c r="O145" s="469">
        <f t="shared" si="46"/>
        <v>21</v>
      </c>
      <c r="P145" s="487">
        <f t="shared" si="39"/>
        <v>21000</v>
      </c>
    </row>
    <row r="146" spans="1:16" ht="20.25" x14ac:dyDescent="0.3">
      <c r="A146" s="486">
        <v>134</v>
      </c>
      <c r="B146" s="129" t="s">
        <v>810</v>
      </c>
      <c r="C146" s="126" t="s">
        <v>673</v>
      </c>
      <c r="D146" s="130">
        <v>25</v>
      </c>
      <c r="E146" s="130"/>
      <c r="F146" s="119" t="s">
        <v>658</v>
      </c>
      <c r="G146" s="147">
        <v>0.78900000000000003</v>
      </c>
      <c r="H146" s="128">
        <v>2.9000000000000001E-2</v>
      </c>
      <c r="I146" s="128">
        <f t="shared" si="40"/>
        <v>1.61E-2</v>
      </c>
      <c r="J146" s="128">
        <f t="shared" si="41"/>
        <v>3.7579999999999995E-2</v>
      </c>
      <c r="K146" s="128">
        <f t="shared" si="42"/>
        <v>6.658E-2</v>
      </c>
      <c r="L146" s="128">
        <f t="shared" si="43"/>
        <v>0.85558000000000001</v>
      </c>
      <c r="M146" s="469">
        <f t="shared" si="44"/>
        <v>4.0920800000000002</v>
      </c>
      <c r="N146" s="469">
        <f t="shared" si="45"/>
        <v>4.0999999999999996</v>
      </c>
      <c r="O146" s="469">
        <f t="shared" si="46"/>
        <v>4</v>
      </c>
      <c r="P146" s="487">
        <f t="shared" si="39"/>
        <v>4000</v>
      </c>
    </row>
    <row r="147" spans="1:16" ht="20.25" x14ac:dyDescent="0.3">
      <c r="A147" s="486">
        <v>135</v>
      </c>
      <c r="B147" s="129" t="s">
        <v>811</v>
      </c>
      <c r="C147" s="126" t="s">
        <v>660</v>
      </c>
      <c r="D147" s="130">
        <v>5</v>
      </c>
      <c r="E147" s="130">
        <v>20</v>
      </c>
      <c r="F147" s="119" t="s">
        <v>658</v>
      </c>
      <c r="G147" s="147">
        <v>5.3819999999999997</v>
      </c>
      <c r="H147" s="128">
        <v>2.9000000000000001E-2</v>
      </c>
      <c r="I147" s="128">
        <f t="shared" si="40"/>
        <v>1.61E-2</v>
      </c>
      <c r="J147" s="128">
        <f t="shared" si="41"/>
        <v>3.7579999999999995E-2</v>
      </c>
      <c r="K147" s="128">
        <f t="shared" si="42"/>
        <v>6.658E-2</v>
      </c>
      <c r="L147" s="128">
        <f t="shared" si="43"/>
        <v>5.4485799999999998</v>
      </c>
      <c r="M147" s="469">
        <f t="shared" si="44"/>
        <v>27.057079999999996</v>
      </c>
      <c r="N147" s="469">
        <f t="shared" si="45"/>
        <v>27.1</v>
      </c>
      <c r="O147" s="469">
        <f t="shared" si="46"/>
        <v>27</v>
      </c>
      <c r="P147" s="487">
        <f t="shared" si="39"/>
        <v>27000</v>
      </c>
    </row>
    <row r="148" spans="1:16" ht="20.25" x14ac:dyDescent="0.3">
      <c r="A148" s="486">
        <v>136</v>
      </c>
      <c r="B148" s="129" t="s">
        <v>812</v>
      </c>
      <c r="C148" s="126" t="s">
        <v>813</v>
      </c>
      <c r="D148" s="130">
        <v>25</v>
      </c>
      <c r="E148" s="130"/>
      <c r="F148" s="119" t="s">
        <v>658</v>
      </c>
      <c r="G148" s="147">
        <v>2.956</v>
      </c>
      <c r="H148" s="128">
        <v>2.9000000000000001E-2</v>
      </c>
      <c r="I148" s="128">
        <f t="shared" si="40"/>
        <v>1.61E-2</v>
      </c>
      <c r="J148" s="128">
        <f t="shared" si="41"/>
        <v>3.7579999999999995E-2</v>
      </c>
      <c r="K148" s="128">
        <f t="shared" si="42"/>
        <v>6.658E-2</v>
      </c>
      <c r="L148" s="128">
        <f t="shared" si="43"/>
        <v>3.02258</v>
      </c>
      <c r="M148" s="469">
        <f t="shared" si="44"/>
        <v>14.927079999999998</v>
      </c>
      <c r="N148" s="469">
        <f t="shared" si="45"/>
        <v>14.9</v>
      </c>
      <c r="O148" s="469">
        <f t="shared" si="46"/>
        <v>15</v>
      </c>
      <c r="P148" s="487">
        <f t="shared" si="39"/>
        <v>15000</v>
      </c>
    </row>
    <row r="149" spans="1:16" ht="20.25" x14ac:dyDescent="0.3">
      <c r="A149" s="486">
        <v>137</v>
      </c>
      <c r="B149" s="129" t="s">
        <v>814</v>
      </c>
      <c r="C149" s="126" t="s">
        <v>657</v>
      </c>
      <c r="D149" s="130">
        <v>20</v>
      </c>
      <c r="E149" s="130"/>
      <c r="F149" s="119" t="s">
        <v>658</v>
      </c>
      <c r="G149" s="147">
        <v>3.9220000000000002</v>
      </c>
      <c r="H149" s="128">
        <v>2.9000000000000001E-2</v>
      </c>
      <c r="I149" s="128">
        <f t="shared" si="40"/>
        <v>1.61E-2</v>
      </c>
      <c r="J149" s="128">
        <f t="shared" si="41"/>
        <v>3.7579999999999995E-2</v>
      </c>
      <c r="K149" s="128">
        <f t="shared" si="42"/>
        <v>6.658E-2</v>
      </c>
      <c r="L149" s="128">
        <f t="shared" si="43"/>
        <v>3.9885800000000002</v>
      </c>
      <c r="M149" s="469">
        <f t="shared" si="44"/>
        <v>19.757079999999998</v>
      </c>
      <c r="N149" s="469">
        <f t="shared" si="45"/>
        <v>19.8</v>
      </c>
      <c r="O149" s="469">
        <f t="shared" si="46"/>
        <v>20</v>
      </c>
      <c r="P149" s="487">
        <f t="shared" si="39"/>
        <v>20000</v>
      </c>
    </row>
    <row r="150" spans="1:16" ht="21" thickBot="1" x14ac:dyDescent="0.35">
      <c r="A150" s="504">
        <v>138</v>
      </c>
      <c r="B150" s="148" t="s">
        <v>815</v>
      </c>
      <c r="C150" s="149" t="s">
        <v>667</v>
      </c>
      <c r="D150" s="150">
        <v>1</v>
      </c>
      <c r="E150" s="150">
        <v>12</v>
      </c>
      <c r="F150" s="151" t="s">
        <v>658</v>
      </c>
      <c r="G150" s="505">
        <v>55.493000000000002</v>
      </c>
      <c r="H150" s="152">
        <v>2.9000000000000001E-2</v>
      </c>
      <c r="I150" s="152">
        <f t="shared" si="40"/>
        <v>1.61E-2</v>
      </c>
      <c r="J150" s="152">
        <f t="shared" si="41"/>
        <v>3.7579999999999995E-2</v>
      </c>
      <c r="K150" s="152">
        <f t="shared" si="42"/>
        <v>6.658E-2</v>
      </c>
      <c r="L150" s="152">
        <f t="shared" si="43"/>
        <v>55.559580000000004</v>
      </c>
      <c r="M150" s="475">
        <f t="shared" si="44"/>
        <v>277.61207999999999</v>
      </c>
      <c r="N150" s="475">
        <f t="shared" si="45"/>
        <v>277.60000000000002</v>
      </c>
      <c r="O150" s="475">
        <f t="shared" si="46"/>
        <v>278</v>
      </c>
      <c r="P150" s="506">
        <f t="shared" si="39"/>
        <v>278000</v>
      </c>
    </row>
  </sheetData>
  <mergeCells count="20">
    <mergeCell ref="I5:J6"/>
    <mergeCell ref="A3:M3"/>
    <mergeCell ref="A4:M4"/>
    <mergeCell ref="A5:A7"/>
    <mergeCell ref="B5:B7"/>
    <mergeCell ref="C5:C7"/>
    <mergeCell ref="D5:D7"/>
    <mergeCell ref="E5:E7"/>
    <mergeCell ref="B1:P1"/>
    <mergeCell ref="B2:P2"/>
    <mergeCell ref="K5:K7"/>
    <mergeCell ref="L5:L7"/>
    <mergeCell ref="M5:M7"/>
    <mergeCell ref="N5:P5"/>
    <mergeCell ref="N6:N7"/>
    <mergeCell ref="O6:O7"/>
    <mergeCell ref="P6:P7"/>
    <mergeCell ref="F5:F7"/>
    <mergeCell ref="G5:G7"/>
    <mergeCell ref="H5:H7"/>
  </mergeCells>
  <phoneticPr fontId="21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W136"/>
  <sheetViews>
    <sheetView showGridLines="0" defaultGridColor="0" colorId="23" zoomScale="120" workbookViewId="0">
      <pane xSplit="17" ySplit="5" topLeftCell="R6" activePane="bottomRight" state="frozen"/>
      <selection activeCell="O3" sqref="O3"/>
      <selection pane="topRight" activeCell="O3" sqref="O3"/>
      <selection pane="bottomLeft" activeCell="O3" sqref="O3"/>
      <selection pane="bottomRight" activeCell="R80" sqref="R80"/>
    </sheetView>
  </sheetViews>
  <sheetFormatPr baseColWidth="10" defaultColWidth="11.42578125" defaultRowHeight="12.75" x14ac:dyDescent="0.2"/>
  <cols>
    <col min="1" max="1" width="8.42578125" style="421" customWidth="1"/>
    <col min="2" max="2" width="35.5703125" style="421" customWidth="1"/>
    <col min="3" max="3" width="0" style="421" hidden="1" customWidth="1"/>
    <col min="4" max="4" width="7.7109375" style="421" customWidth="1"/>
    <col min="5" max="17" width="0" style="421" hidden="1" customWidth="1"/>
    <col min="18" max="18" width="15.7109375" style="421" customWidth="1"/>
    <col min="19" max="19" width="18" style="421" customWidth="1"/>
    <col min="20" max="16384" width="11.42578125" style="421"/>
  </cols>
  <sheetData>
    <row r="1" spans="1:19" ht="18.75" x14ac:dyDescent="0.25">
      <c r="A1" s="2285" t="s">
        <v>641</v>
      </c>
      <c r="B1" s="2286"/>
      <c r="C1" s="2286"/>
      <c r="D1" s="2286"/>
      <c r="E1" s="2286"/>
      <c r="F1" s="2286"/>
      <c r="G1" s="2286"/>
      <c r="H1" s="2286"/>
      <c r="I1" s="2286"/>
      <c r="J1" s="2286"/>
      <c r="K1" s="2286"/>
      <c r="L1" s="2286"/>
      <c r="M1" s="2286"/>
      <c r="N1" s="2286"/>
      <c r="O1" s="438"/>
      <c r="P1" s="439"/>
      <c r="Q1" s="439"/>
      <c r="R1" s="439"/>
      <c r="S1" s="440"/>
    </row>
    <row r="2" spans="1:19" ht="18" x14ac:dyDescent="0.25">
      <c r="A2" s="441"/>
      <c r="B2" s="442"/>
      <c r="C2" s="442"/>
      <c r="D2" s="2279" t="s">
        <v>887</v>
      </c>
      <c r="E2" s="2280"/>
      <c r="F2" s="2280"/>
      <c r="G2" s="2280"/>
      <c r="H2" s="2280"/>
      <c r="I2" s="2280"/>
      <c r="J2" s="2280"/>
      <c r="K2" s="2280"/>
      <c r="L2" s="2280"/>
      <c r="M2" s="2280"/>
      <c r="N2" s="2280"/>
      <c r="O2" s="2280"/>
      <c r="P2" s="2280"/>
      <c r="Q2" s="2280"/>
      <c r="R2" s="2280"/>
      <c r="S2" s="2281"/>
    </row>
    <row r="3" spans="1:19" ht="19.5" thickBot="1" x14ac:dyDescent="0.3">
      <c r="A3" s="2287" t="s">
        <v>816</v>
      </c>
      <c r="B3" s="2288"/>
      <c r="C3" s="2288"/>
      <c r="D3" s="2288"/>
      <c r="E3" s="2288"/>
      <c r="F3" s="2288"/>
      <c r="G3" s="2288"/>
      <c r="H3" s="2288"/>
      <c r="I3" s="2288"/>
      <c r="J3" s="2288"/>
      <c r="K3" s="2288"/>
      <c r="L3" s="2288"/>
      <c r="M3" s="2288"/>
      <c r="N3" s="2288"/>
      <c r="O3" s="443"/>
      <c r="P3" s="443">
        <v>10</v>
      </c>
      <c r="Q3" s="443"/>
      <c r="R3" s="443"/>
      <c r="S3" s="444"/>
    </row>
    <row r="4" spans="1:19" ht="19.5" thickBot="1" x14ac:dyDescent="0.3">
      <c r="A4" s="445"/>
      <c r="B4" s="446"/>
      <c r="C4" s="447"/>
      <c r="D4" s="446"/>
      <c r="E4" s="447"/>
      <c r="F4" s="447"/>
      <c r="G4" s="447"/>
      <c r="H4" s="446"/>
      <c r="I4" s="446"/>
      <c r="J4" s="2289" t="s">
        <v>649</v>
      </c>
      <c r="K4" s="2288"/>
      <c r="L4" s="446"/>
      <c r="M4" s="2290" t="s">
        <v>817</v>
      </c>
      <c r="N4" s="448"/>
      <c r="O4" s="449"/>
      <c r="P4" s="2292" t="s">
        <v>653</v>
      </c>
      <c r="Q4" s="2293"/>
      <c r="R4" s="2294"/>
      <c r="S4" s="2295"/>
    </row>
    <row r="5" spans="1:19" ht="32.25" customHeight="1" thickBot="1" x14ac:dyDescent="0.25">
      <c r="A5" s="450" t="s">
        <v>643</v>
      </c>
      <c r="B5" s="451" t="s">
        <v>246</v>
      </c>
      <c r="C5" s="452" t="s">
        <v>818</v>
      </c>
      <c r="D5" s="451" t="s">
        <v>226</v>
      </c>
      <c r="E5" s="453" t="s">
        <v>819</v>
      </c>
      <c r="F5" s="452"/>
      <c r="G5" s="454" t="s">
        <v>820</v>
      </c>
      <c r="H5" s="451" t="s">
        <v>821</v>
      </c>
      <c r="I5" s="451" t="s">
        <v>822</v>
      </c>
      <c r="J5" s="452" t="s">
        <v>325</v>
      </c>
      <c r="K5" s="454" t="s">
        <v>452</v>
      </c>
      <c r="L5" s="451" t="s">
        <v>650</v>
      </c>
      <c r="M5" s="2291"/>
      <c r="N5" s="455" t="s">
        <v>823</v>
      </c>
      <c r="O5" s="456"/>
      <c r="P5" s="457" t="s">
        <v>654</v>
      </c>
      <c r="Q5" s="457" t="s">
        <v>226</v>
      </c>
      <c r="R5" s="451" t="s">
        <v>824</v>
      </c>
      <c r="S5" s="458" t="s">
        <v>437</v>
      </c>
    </row>
    <row r="6" spans="1:19" ht="21" thickBot="1" x14ac:dyDescent="0.35">
      <c r="A6" s="459">
        <v>1</v>
      </c>
      <c r="B6" s="460" t="s">
        <v>825</v>
      </c>
      <c r="C6" s="461">
        <v>0.3</v>
      </c>
      <c r="D6" s="462" t="s">
        <v>437</v>
      </c>
      <c r="E6" s="461">
        <v>1400</v>
      </c>
      <c r="F6" s="462"/>
      <c r="G6" s="461">
        <v>14000</v>
      </c>
      <c r="H6" s="461">
        <f t="shared" ref="H6:H37" si="0">E6/1000</f>
        <v>1.4</v>
      </c>
      <c r="I6" s="153">
        <v>2.9000000000000001E-2</v>
      </c>
      <c r="J6" s="153">
        <f t="shared" ref="J6:J37" si="1">16.1/1000</f>
        <v>1.61E-2</v>
      </c>
      <c r="K6" s="153">
        <f t="shared" ref="K6:K37" si="2">(53.68-16.1)/1000</f>
        <v>3.7579999999999995E-2</v>
      </c>
      <c r="L6" s="153">
        <f t="shared" ref="L6:L37" si="3">I6+K6</f>
        <v>6.658E-2</v>
      </c>
      <c r="M6" s="154">
        <f t="shared" ref="M6:M37" si="4">E6+L6</f>
        <v>1400.0665799999999</v>
      </c>
      <c r="N6" s="463">
        <f t="shared" ref="N6:N37" si="5">(H6+J6)*5+L6</f>
        <v>7.1470799999999999</v>
      </c>
      <c r="O6" s="461"/>
      <c r="P6" s="461">
        <f t="shared" ref="P6:P37" si="6">ROUND(N6,1)</f>
        <v>7.1</v>
      </c>
      <c r="Q6" s="462" t="s">
        <v>658</v>
      </c>
      <c r="R6" s="461">
        <f t="shared" ref="R6:R37" si="7">ROUND(N6,0)</f>
        <v>7</v>
      </c>
      <c r="S6" s="464">
        <f t="shared" ref="S6:S37" si="8">R6*1000</f>
        <v>7000</v>
      </c>
    </row>
    <row r="7" spans="1:19" ht="21" thickBot="1" x14ac:dyDescent="0.35">
      <c r="A7" s="465">
        <v>2</v>
      </c>
      <c r="B7" s="466" t="s">
        <v>826</v>
      </c>
      <c r="C7" s="467">
        <v>156.80000000000001</v>
      </c>
      <c r="D7" s="468" t="s">
        <v>437</v>
      </c>
      <c r="E7" s="467">
        <v>1950</v>
      </c>
      <c r="F7" s="468"/>
      <c r="G7" s="467">
        <v>20471.900000000001</v>
      </c>
      <c r="H7" s="467">
        <f t="shared" si="0"/>
        <v>1.95</v>
      </c>
      <c r="I7" s="128">
        <v>2.9000000000000001E-2</v>
      </c>
      <c r="J7" s="128">
        <f t="shared" si="1"/>
        <v>1.61E-2</v>
      </c>
      <c r="K7" s="128">
        <f t="shared" si="2"/>
        <v>3.7579999999999995E-2</v>
      </c>
      <c r="L7" s="128">
        <f t="shared" si="3"/>
        <v>6.658E-2</v>
      </c>
      <c r="M7" s="155">
        <f t="shared" si="4"/>
        <v>1950.0665799999999</v>
      </c>
      <c r="N7" s="469">
        <f t="shared" si="5"/>
        <v>9.8970800000000008</v>
      </c>
      <c r="O7" s="467"/>
      <c r="P7" s="467">
        <f t="shared" si="6"/>
        <v>9.9</v>
      </c>
      <c r="Q7" s="468" t="s">
        <v>658</v>
      </c>
      <c r="R7" s="467">
        <f t="shared" si="7"/>
        <v>10</v>
      </c>
      <c r="S7" s="464">
        <f t="shared" si="8"/>
        <v>10000</v>
      </c>
    </row>
    <row r="8" spans="1:19" ht="21" thickBot="1" x14ac:dyDescent="0.35">
      <c r="A8" s="465">
        <v>3</v>
      </c>
      <c r="B8" s="466" t="s">
        <v>827</v>
      </c>
      <c r="C8" s="467">
        <v>1832</v>
      </c>
      <c r="D8" s="468" t="s">
        <v>437</v>
      </c>
      <c r="E8" s="467">
        <v>727.65</v>
      </c>
      <c r="F8" s="468"/>
      <c r="G8" s="467">
        <v>7276.5</v>
      </c>
      <c r="H8" s="467">
        <f t="shared" si="0"/>
        <v>0.72765000000000002</v>
      </c>
      <c r="I8" s="128">
        <v>2.9000000000000001E-2</v>
      </c>
      <c r="J8" s="128">
        <f t="shared" si="1"/>
        <v>1.61E-2</v>
      </c>
      <c r="K8" s="128">
        <f t="shared" si="2"/>
        <v>3.7579999999999995E-2</v>
      </c>
      <c r="L8" s="128">
        <f t="shared" si="3"/>
        <v>6.658E-2</v>
      </c>
      <c r="M8" s="155">
        <f t="shared" si="4"/>
        <v>727.71658000000002</v>
      </c>
      <c r="N8" s="469">
        <f t="shared" si="5"/>
        <v>3.7853300000000001</v>
      </c>
      <c r="O8" s="467"/>
      <c r="P8" s="467">
        <f t="shared" si="6"/>
        <v>3.8</v>
      </c>
      <c r="Q8" s="468" t="s">
        <v>658</v>
      </c>
      <c r="R8" s="467">
        <f t="shared" si="7"/>
        <v>4</v>
      </c>
      <c r="S8" s="464">
        <f t="shared" si="8"/>
        <v>4000</v>
      </c>
    </row>
    <row r="9" spans="1:19" ht="21" thickBot="1" x14ac:dyDescent="0.35">
      <c r="A9" s="465">
        <v>4</v>
      </c>
      <c r="B9" s="466" t="s">
        <v>828</v>
      </c>
      <c r="C9" s="467">
        <v>350</v>
      </c>
      <c r="D9" s="468" t="s">
        <v>437</v>
      </c>
      <c r="E9" s="467">
        <v>3260</v>
      </c>
      <c r="F9" s="468"/>
      <c r="G9" s="467">
        <v>32600</v>
      </c>
      <c r="H9" s="467">
        <f t="shared" si="0"/>
        <v>3.26</v>
      </c>
      <c r="I9" s="128">
        <v>2.9000000000000001E-2</v>
      </c>
      <c r="J9" s="128">
        <f t="shared" si="1"/>
        <v>1.61E-2</v>
      </c>
      <c r="K9" s="128">
        <f t="shared" si="2"/>
        <v>3.7579999999999995E-2</v>
      </c>
      <c r="L9" s="128">
        <f t="shared" si="3"/>
        <v>6.658E-2</v>
      </c>
      <c r="M9" s="155">
        <f t="shared" si="4"/>
        <v>3260.0665800000002</v>
      </c>
      <c r="N9" s="469">
        <f t="shared" si="5"/>
        <v>16.447079999999996</v>
      </c>
      <c r="O9" s="467"/>
      <c r="P9" s="467">
        <f t="shared" si="6"/>
        <v>16.399999999999999</v>
      </c>
      <c r="Q9" s="468" t="s">
        <v>658</v>
      </c>
      <c r="R9" s="467">
        <f t="shared" si="7"/>
        <v>16</v>
      </c>
      <c r="S9" s="464">
        <f t="shared" si="8"/>
        <v>16000</v>
      </c>
    </row>
    <row r="10" spans="1:19" ht="21" thickBot="1" x14ac:dyDescent="0.35">
      <c r="A10" s="465">
        <v>5</v>
      </c>
      <c r="B10" s="466" t="s">
        <v>829</v>
      </c>
      <c r="C10" s="467">
        <v>10</v>
      </c>
      <c r="D10" s="468" t="s">
        <v>437</v>
      </c>
      <c r="E10" s="467">
        <v>3500</v>
      </c>
      <c r="F10" s="468"/>
      <c r="G10" s="467">
        <v>35000</v>
      </c>
      <c r="H10" s="467">
        <f t="shared" si="0"/>
        <v>3.5</v>
      </c>
      <c r="I10" s="128">
        <v>2.9000000000000001E-2</v>
      </c>
      <c r="J10" s="128">
        <f t="shared" si="1"/>
        <v>1.61E-2</v>
      </c>
      <c r="K10" s="128">
        <f t="shared" si="2"/>
        <v>3.7579999999999995E-2</v>
      </c>
      <c r="L10" s="128">
        <f t="shared" si="3"/>
        <v>6.658E-2</v>
      </c>
      <c r="M10" s="155">
        <f t="shared" si="4"/>
        <v>3500.0665800000002</v>
      </c>
      <c r="N10" s="469">
        <f t="shared" si="5"/>
        <v>17.647079999999999</v>
      </c>
      <c r="O10" s="467"/>
      <c r="P10" s="467">
        <f t="shared" si="6"/>
        <v>17.600000000000001</v>
      </c>
      <c r="Q10" s="468" t="s">
        <v>658</v>
      </c>
      <c r="R10" s="467">
        <f t="shared" si="7"/>
        <v>18</v>
      </c>
      <c r="S10" s="464">
        <f t="shared" si="8"/>
        <v>18000</v>
      </c>
    </row>
    <row r="11" spans="1:19" ht="21" thickBot="1" x14ac:dyDescent="0.35">
      <c r="A11" s="465">
        <v>6</v>
      </c>
      <c r="B11" s="466" t="s">
        <v>830</v>
      </c>
      <c r="C11" s="467">
        <v>0.3</v>
      </c>
      <c r="D11" s="468" t="s">
        <v>638</v>
      </c>
      <c r="E11" s="467">
        <v>27500</v>
      </c>
      <c r="F11" s="468"/>
      <c r="G11" s="467">
        <v>291100</v>
      </c>
      <c r="H11" s="467">
        <f t="shared" si="0"/>
        <v>27.5</v>
      </c>
      <c r="I11" s="128">
        <v>2.9000000000000001E-2</v>
      </c>
      <c r="J11" s="128">
        <f t="shared" si="1"/>
        <v>1.61E-2</v>
      </c>
      <c r="K11" s="128">
        <f t="shared" si="2"/>
        <v>3.7579999999999995E-2</v>
      </c>
      <c r="L11" s="128">
        <f t="shared" si="3"/>
        <v>6.658E-2</v>
      </c>
      <c r="M11" s="155">
        <f t="shared" si="4"/>
        <v>27500.066579999999</v>
      </c>
      <c r="N11" s="469">
        <f t="shared" si="5"/>
        <v>137.64707999999999</v>
      </c>
      <c r="O11" s="467"/>
      <c r="P11" s="467">
        <f t="shared" si="6"/>
        <v>137.6</v>
      </c>
      <c r="Q11" s="468" t="s">
        <v>658</v>
      </c>
      <c r="R11" s="467">
        <f t="shared" si="7"/>
        <v>138</v>
      </c>
      <c r="S11" s="464">
        <f t="shared" si="8"/>
        <v>138000</v>
      </c>
    </row>
    <row r="12" spans="1:19" ht="21" thickBot="1" x14ac:dyDescent="0.35">
      <c r="A12" s="465">
        <v>7</v>
      </c>
      <c r="B12" s="466" t="s">
        <v>831</v>
      </c>
      <c r="C12" s="467">
        <v>0.3</v>
      </c>
      <c r="D12" s="468" t="s">
        <v>638</v>
      </c>
      <c r="E12" s="467">
        <v>5000</v>
      </c>
      <c r="F12" s="468"/>
      <c r="G12" s="467">
        <v>52000</v>
      </c>
      <c r="H12" s="467">
        <f t="shared" si="0"/>
        <v>5</v>
      </c>
      <c r="I12" s="128">
        <v>2.9000000000000001E-2</v>
      </c>
      <c r="J12" s="128">
        <f t="shared" si="1"/>
        <v>1.61E-2</v>
      </c>
      <c r="K12" s="128">
        <f t="shared" si="2"/>
        <v>3.7579999999999995E-2</v>
      </c>
      <c r="L12" s="128">
        <f t="shared" si="3"/>
        <v>6.658E-2</v>
      </c>
      <c r="M12" s="155">
        <f t="shared" si="4"/>
        <v>5000.0665799999997</v>
      </c>
      <c r="N12" s="469">
        <f t="shared" si="5"/>
        <v>25.147079999999999</v>
      </c>
      <c r="O12" s="467"/>
      <c r="P12" s="467">
        <f t="shared" si="6"/>
        <v>25.1</v>
      </c>
      <c r="Q12" s="468" t="s">
        <v>658</v>
      </c>
      <c r="R12" s="467">
        <f t="shared" si="7"/>
        <v>25</v>
      </c>
      <c r="S12" s="464">
        <f t="shared" si="8"/>
        <v>25000</v>
      </c>
    </row>
    <row r="13" spans="1:19" ht="21" thickBot="1" x14ac:dyDescent="0.35">
      <c r="A13" s="465">
        <v>8</v>
      </c>
      <c r="B13" s="466" t="s">
        <v>832</v>
      </c>
      <c r="C13" s="467"/>
      <c r="D13" s="468" t="s">
        <v>638</v>
      </c>
      <c r="E13" s="467">
        <v>5950</v>
      </c>
      <c r="F13" s="468"/>
      <c r="G13" s="467">
        <v>293200</v>
      </c>
      <c r="H13" s="467">
        <f t="shared" si="0"/>
        <v>5.95</v>
      </c>
      <c r="I13" s="128">
        <v>2.9000000000000001E-2</v>
      </c>
      <c r="J13" s="128">
        <f t="shared" si="1"/>
        <v>1.61E-2</v>
      </c>
      <c r="K13" s="128">
        <f t="shared" si="2"/>
        <v>3.7579999999999995E-2</v>
      </c>
      <c r="L13" s="128">
        <f t="shared" si="3"/>
        <v>6.658E-2</v>
      </c>
      <c r="M13" s="155">
        <f t="shared" si="4"/>
        <v>5950.0665799999997</v>
      </c>
      <c r="N13" s="469">
        <f t="shared" si="5"/>
        <v>29.897079999999999</v>
      </c>
      <c r="O13" s="467"/>
      <c r="P13" s="467">
        <f t="shared" si="6"/>
        <v>29.9</v>
      </c>
      <c r="Q13" s="468" t="s">
        <v>658</v>
      </c>
      <c r="R13" s="467">
        <f t="shared" si="7"/>
        <v>30</v>
      </c>
      <c r="S13" s="464">
        <f t="shared" si="8"/>
        <v>30000</v>
      </c>
    </row>
    <row r="14" spans="1:19" ht="21" thickBot="1" x14ac:dyDescent="0.35">
      <c r="A14" s="465">
        <v>9</v>
      </c>
      <c r="B14" s="466" t="s">
        <v>833</v>
      </c>
      <c r="C14" s="467">
        <v>1400</v>
      </c>
      <c r="D14" s="468" t="s">
        <v>437</v>
      </c>
      <c r="E14" s="467">
        <v>500</v>
      </c>
      <c r="F14" s="468"/>
      <c r="G14" s="467">
        <v>5000</v>
      </c>
      <c r="H14" s="467">
        <f t="shared" si="0"/>
        <v>0.5</v>
      </c>
      <c r="I14" s="128">
        <v>2.9000000000000001E-2</v>
      </c>
      <c r="J14" s="128">
        <f t="shared" si="1"/>
        <v>1.61E-2</v>
      </c>
      <c r="K14" s="128">
        <f t="shared" si="2"/>
        <v>3.7579999999999995E-2</v>
      </c>
      <c r="L14" s="128">
        <f t="shared" si="3"/>
        <v>6.658E-2</v>
      </c>
      <c r="M14" s="155">
        <f t="shared" si="4"/>
        <v>500.06657999999999</v>
      </c>
      <c r="N14" s="469">
        <f t="shared" si="5"/>
        <v>2.6470799999999999</v>
      </c>
      <c r="O14" s="467"/>
      <c r="P14" s="467">
        <f t="shared" si="6"/>
        <v>2.6</v>
      </c>
      <c r="Q14" s="468" t="s">
        <v>658</v>
      </c>
      <c r="R14" s="467">
        <f t="shared" si="7"/>
        <v>3</v>
      </c>
      <c r="S14" s="464">
        <f t="shared" si="8"/>
        <v>3000</v>
      </c>
    </row>
    <row r="15" spans="1:19" ht="21" thickBot="1" x14ac:dyDescent="0.35">
      <c r="A15" s="465">
        <v>10</v>
      </c>
      <c r="B15" s="466" t="s">
        <v>834</v>
      </c>
      <c r="C15" s="467">
        <v>0.3</v>
      </c>
      <c r="D15" s="468" t="s">
        <v>638</v>
      </c>
      <c r="E15" s="467">
        <v>4000</v>
      </c>
      <c r="F15" s="468"/>
      <c r="G15" s="467">
        <v>41600</v>
      </c>
      <c r="H15" s="467">
        <f t="shared" si="0"/>
        <v>4</v>
      </c>
      <c r="I15" s="128">
        <v>2.9000000000000001E-2</v>
      </c>
      <c r="J15" s="128">
        <f t="shared" si="1"/>
        <v>1.61E-2</v>
      </c>
      <c r="K15" s="128">
        <f t="shared" si="2"/>
        <v>3.7579999999999995E-2</v>
      </c>
      <c r="L15" s="128">
        <f t="shared" si="3"/>
        <v>6.658E-2</v>
      </c>
      <c r="M15" s="155">
        <f t="shared" si="4"/>
        <v>4000.0665800000002</v>
      </c>
      <c r="N15" s="469">
        <f t="shared" si="5"/>
        <v>20.147079999999999</v>
      </c>
      <c r="O15" s="467"/>
      <c r="P15" s="467">
        <f t="shared" si="6"/>
        <v>20.100000000000001</v>
      </c>
      <c r="Q15" s="468" t="s">
        <v>658</v>
      </c>
      <c r="R15" s="467">
        <f t="shared" si="7"/>
        <v>20</v>
      </c>
      <c r="S15" s="464">
        <f t="shared" si="8"/>
        <v>20000</v>
      </c>
    </row>
    <row r="16" spans="1:19" ht="21" thickBot="1" x14ac:dyDescent="0.35">
      <c r="A16" s="465">
        <v>11</v>
      </c>
      <c r="B16" s="466" t="s">
        <v>835</v>
      </c>
      <c r="C16" s="467">
        <v>760</v>
      </c>
      <c r="D16" s="468" t="s">
        <v>437</v>
      </c>
      <c r="E16" s="467">
        <v>630</v>
      </c>
      <c r="F16" s="468"/>
      <c r="G16" s="467">
        <v>6300</v>
      </c>
      <c r="H16" s="467">
        <f t="shared" si="0"/>
        <v>0.63</v>
      </c>
      <c r="I16" s="128">
        <v>2.9000000000000001E-2</v>
      </c>
      <c r="J16" s="128">
        <f t="shared" si="1"/>
        <v>1.61E-2</v>
      </c>
      <c r="K16" s="128">
        <f t="shared" si="2"/>
        <v>3.7579999999999995E-2</v>
      </c>
      <c r="L16" s="128">
        <f t="shared" si="3"/>
        <v>6.658E-2</v>
      </c>
      <c r="M16" s="155">
        <f t="shared" si="4"/>
        <v>630.06658000000004</v>
      </c>
      <c r="N16" s="469">
        <f t="shared" si="5"/>
        <v>3.2970800000000002</v>
      </c>
      <c r="O16" s="467"/>
      <c r="P16" s="467">
        <f t="shared" si="6"/>
        <v>3.3</v>
      </c>
      <c r="Q16" s="468" t="s">
        <v>658</v>
      </c>
      <c r="R16" s="467">
        <f t="shared" si="7"/>
        <v>3</v>
      </c>
      <c r="S16" s="464">
        <f t="shared" si="8"/>
        <v>3000</v>
      </c>
    </row>
    <row r="17" spans="1:19" ht="21" thickBot="1" x14ac:dyDescent="0.35">
      <c r="A17" s="465">
        <v>12</v>
      </c>
      <c r="B17" s="466" t="s">
        <v>836</v>
      </c>
      <c r="C17" s="467">
        <v>0.93</v>
      </c>
      <c r="D17" s="468" t="s">
        <v>638</v>
      </c>
      <c r="E17" s="467">
        <v>5320</v>
      </c>
      <c r="F17" s="468"/>
      <c r="G17" s="467">
        <v>53200</v>
      </c>
      <c r="H17" s="467">
        <f t="shared" si="0"/>
        <v>5.32</v>
      </c>
      <c r="I17" s="128">
        <v>2.9000000000000001E-2</v>
      </c>
      <c r="J17" s="128">
        <f t="shared" si="1"/>
        <v>1.61E-2</v>
      </c>
      <c r="K17" s="128">
        <f t="shared" si="2"/>
        <v>3.7579999999999995E-2</v>
      </c>
      <c r="L17" s="128">
        <f t="shared" si="3"/>
        <v>6.658E-2</v>
      </c>
      <c r="M17" s="155">
        <f t="shared" si="4"/>
        <v>5320.0665799999997</v>
      </c>
      <c r="N17" s="469">
        <f t="shared" si="5"/>
        <v>26.74708</v>
      </c>
      <c r="O17" s="467"/>
      <c r="P17" s="467">
        <f t="shared" si="6"/>
        <v>26.7</v>
      </c>
      <c r="Q17" s="468" t="s">
        <v>658</v>
      </c>
      <c r="R17" s="467">
        <f t="shared" si="7"/>
        <v>27</v>
      </c>
      <c r="S17" s="464">
        <f t="shared" si="8"/>
        <v>27000</v>
      </c>
    </row>
    <row r="18" spans="1:19" ht="21" thickBot="1" x14ac:dyDescent="0.35">
      <c r="A18" s="465">
        <v>13</v>
      </c>
      <c r="B18" s="466" t="s">
        <v>837</v>
      </c>
      <c r="C18" s="467">
        <v>35.4</v>
      </c>
      <c r="D18" s="468" t="s">
        <v>437</v>
      </c>
      <c r="E18" s="467">
        <v>1600</v>
      </c>
      <c r="F18" s="468"/>
      <c r="G18" s="467">
        <v>16305.8</v>
      </c>
      <c r="H18" s="467">
        <f t="shared" si="0"/>
        <v>1.6</v>
      </c>
      <c r="I18" s="128">
        <v>2.9000000000000001E-2</v>
      </c>
      <c r="J18" s="128">
        <f t="shared" si="1"/>
        <v>1.61E-2</v>
      </c>
      <c r="K18" s="128">
        <f t="shared" si="2"/>
        <v>3.7579999999999995E-2</v>
      </c>
      <c r="L18" s="128">
        <f t="shared" si="3"/>
        <v>6.658E-2</v>
      </c>
      <c r="M18" s="155">
        <f t="shared" si="4"/>
        <v>1600.0665799999999</v>
      </c>
      <c r="N18" s="469">
        <f t="shared" si="5"/>
        <v>8.1470800000000008</v>
      </c>
      <c r="O18" s="467"/>
      <c r="P18" s="467">
        <f t="shared" si="6"/>
        <v>8.1</v>
      </c>
      <c r="Q18" s="468" t="s">
        <v>658</v>
      </c>
      <c r="R18" s="467">
        <f t="shared" si="7"/>
        <v>8</v>
      </c>
      <c r="S18" s="464">
        <f t="shared" si="8"/>
        <v>8000</v>
      </c>
    </row>
    <row r="19" spans="1:19" ht="21" thickBot="1" x14ac:dyDescent="0.35">
      <c r="A19" s="465">
        <v>14</v>
      </c>
      <c r="B19" s="466" t="s">
        <v>838</v>
      </c>
      <c r="C19" s="467">
        <v>26.9</v>
      </c>
      <c r="D19" s="468" t="s">
        <v>437</v>
      </c>
      <c r="E19" s="467">
        <v>1850</v>
      </c>
      <c r="F19" s="468"/>
      <c r="G19" s="467">
        <v>19827</v>
      </c>
      <c r="H19" s="467">
        <f t="shared" si="0"/>
        <v>1.85</v>
      </c>
      <c r="I19" s="128">
        <v>2.9000000000000001E-2</v>
      </c>
      <c r="J19" s="128">
        <f t="shared" si="1"/>
        <v>1.61E-2</v>
      </c>
      <c r="K19" s="128">
        <f t="shared" si="2"/>
        <v>3.7579999999999995E-2</v>
      </c>
      <c r="L19" s="128">
        <f t="shared" si="3"/>
        <v>6.658E-2</v>
      </c>
      <c r="M19" s="155">
        <f t="shared" si="4"/>
        <v>1850.0665799999999</v>
      </c>
      <c r="N19" s="469">
        <f t="shared" si="5"/>
        <v>9.3970800000000008</v>
      </c>
      <c r="O19" s="467"/>
      <c r="P19" s="467">
        <f t="shared" si="6"/>
        <v>9.4</v>
      </c>
      <c r="Q19" s="468" t="s">
        <v>658</v>
      </c>
      <c r="R19" s="467">
        <f t="shared" si="7"/>
        <v>9</v>
      </c>
      <c r="S19" s="464">
        <f t="shared" si="8"/>
        <v>9000</v>
      </c>
    </row>
    <row r="20" spans="1:19" ht="21" thickBot="1" x14ac:dyDescent="0.35">
      <c r="A20" s="465">
        <v>15</v>
      </c>
      <c r="B20" s="466" t="s">
        <v>839</v>
      </c>
      <c r="C20" s="467">
        <v>0.05</v>
      </c>
      <c r="D20" s="468" t="s">
        <v>638</v>
      </c>
      <c r="E20" s="467">
        <v>4850</v>
      </c>
      <c r="F20" s="468"/>
      <c r="G20" s="467">
        <v>51100</v>
      </c>
      <c r="H20" s="467">
        <f t="shared" si="0"/>
        <v>4.8499999999999996</v>
      </c>
      <c r="I20" s="128">
        <v>2.9000000000000001E-2</v>
      </c>
      <c r="J20" s="128">
        <f t="shared" si="1"/>
        <v>1.61E-2</v>
      </c>
      <c r="K20" s="128">
        <f t="shared" si="2"/>
        <v>3.7579999999999995E-2</v>
      </c>
      <c r="L20" s="128">
        <f t="shared" si="3"/>
        <v>6.658E-2</v>
      </c>
      <c r="M20" s="155">
        <f t="shared" si="4"/>
        <v>4850.0665799999997</v>
      </c>
      <c r="N20" s="469">
        <f t="shared" si="5"/>
        <v>24.397079999999995</v>
      </c>
      <c r="O20" s="467"/>
      <c r="P20" s="467">
        <f t="shared" si="6"/>
        <v>24.4</v>
      </c>
      <c r="Q20" s="468" t="s">
        <v>658</v>
      </c>
      <c r="R20" s="467">
        <f t="shared" si="7"/>
        <v>24</v>
      </c>
      <c r="S20" s="464">
        <f t="shared" si="8"/>
        <v>24000</v>
      </c>
    </row>
    <row r="21" spans="1:19" ht="21" thickBot="1" x14ac:dyDescent="0.35">
      <c r="A21" s="465">
        <v>16</v>
      </c>
      <c r="B21" s="466" t="s">
        <v>840</v>
      </c>
      <c r="C21" s="467">
        <v>7.0000000000000007E-2</v>
      </c>
      <c r="D21" s="468" t="s">
        <v>638</v>
      </c>
      <c r="E21" s="467">
        <v>4850</v>
      </c>
      <c r="F21" s="468"/>
      <c r="G21" s="467">
        <v>51100</v>
      </c>
      <c r="H21" s="467">
        <f t="shared" si="0"/>
        <v>4.8499999999999996</v>
      </c>
      <c r="I21" s="128">
        <v>2.9000000000000001E-2</v>
      </c>
      <c r="J21" s="128">
        <f t="shared" si="1"/>
        <v>1.61E-2</v>
      </c>
      <c r="K21" s="128">
        <f t="shared" si="2"/>
        <v>3.7579999999999995E-2</v>
      </c>
      <c r="L21" s="128">
        <f t="shared" si="3"/>
        <v>6.658E-2</v>
      </c>
      <c r="M21" s="155">
        <f t="shared" si="4"/>
        <v>4850.0665799999997</v>
      </c>
      <c r="N21" s="469">
        <f t="shared" si="5"/>
        <v>24.397079999999995</v>
      </c>
      <c r="O21" s="467"/>
      <c r="P21" s="467">
        <f t="shared" si="6"/>
        <v>24.4</v>
      </c>
      <c r="Q21" s="468" t="s">
        <v>658</v>
      </c>
      <c r="R21" s="467">
        <f t="shared" si="7"/>
        <v>24</v>
      </c>
      <c r="S21" s="464">
        <f t="shared" si="8"/>
        <v>24000</v>
      </c>
    </row>
    <row r="22" spans="1:19" ht="21" thickBot="1" x14ac:dyDescent="0.35">
      <c r="A22" s="465">
        <v>17</v>
      </c>
      <c r="B22" s="466" t="s">
        <v>841</v>
      </c>
      <c r="C22" s="467">
        <v>0.3</v>
      </c>
      <c r="D22" s="468" t="s">
        <v>638</v>
      </c>
      <c r="E22" s="467">
        <v>5800</v>
      </c>
      <c r="F22" s="468"/>
      <c r="G22" s="467">
        <v>61000</v>
      </c>
      <c r="H22" s="467">
        <f t="shared" si="0"/>
        <v>5.8</v>
      </c>
      <c r="I22" s="128">
        <v>2.9000000000000001E-2</v>
      </c>
      <c r="J22" s="128">
        <f t="shared" si="1"/>
        <v>1.61E-2</v>
      </c>
      <c r="K22" s="128">
        <f t="shared" si="2"/>
        <v>3.7579999999999995E-2</v>
      </c>
      <c r="L22" s="128">
        <f t="shared" si="3"/>
        <v>6.658E-2</v>
      </c>
      <c r="M22" s="155">
        <f t="shared" si="4"/>
        <v>5800.0665799999997</v>
      </c>
      <c r="N22" s="469">
        <f t="shared" si="5"/>
        <v>29.147079999999995</v>
      </c>
      <c r="O22" s="467"/>
      <c r="P22" s="467">
        <f t="shared" si="6"/>
        <v>29.1</v>
      </c>
      <c r="Q22" s="468" t="s">
        <v>658</v>
      </c>
      <c r="R22" s="467">
        <f t="shared" si="7"/>
        <v>29</v>
      </c>
      <c r="S22" s="464">
        <f t="shared" si="8"/>
        <v>29000</v>
      </c>
    </row>
    <row r="23" spans="1:19" ht="21" thickBot="1" x14ac:dyDescent="0.35">
      <c r="A23" s="465">
        <v>18</v>
      </c>
      <c r="B23" s="466" t="s">
        <v>842</v>
      </c>
      <c r="C23" s="467">
        <v>0.03</v>
      </c>
      <c r="D23" s="468" t="s">
        <v>638</v>
      </c>
      <c r="E23" s="467">
        <v>13100</v>
      </c>
      <c r="F23" s="468"/>
      <c r="G23" s="467">
        <v>162900</v>
      </c>
      <c r="H23" s="467">
        <f t="shared" si="0"/>
        <v>13.1</v>
      </c>
      <c r="I23" s="128">
        <v>2.9000000000000001E-2</v>
      </c>
      <c r="J23" s="128">
        <f t="shared" si="1"/>
        <v>1.61E-2</v>
      </c>
      <c r="K23" s="128">
        <f t="shared" si="2"/>
        <v>3.7579999999999995E-2</v>
      </c>
      <c r="L23" s="128">
        <f t="shared" si="3"/>
        <v>6.658E-2</v>
      </c>
      <c r="M23" s="155">
        <f t="shared" si="4"/>
        <v>13100.066580000001</v>
      </c>
      <c r="N23" s="469">
        <f t="shared" si="5"/>
        <v>65.647080000000003</v>
      </c>
      <c r="O23" s="467"/>
      <c r="P23" s="467">
        <f t="shared" si="6"/>
        <v>65.599999999999994</v>
      </c>
      <c r="Q23" s="468" t="s">
        <v>658</v>
      </c>
      <c r="R23" s="467">
        <f t="shared" si="7"/>
        <v>66</v>
      </c>
      <c r="S23" s="464">
        <f t="shared" si="8"/>
        <v>66000</v>
      </c>
    </row>
    <row r="24" spans="1:19" ht="21" thickBot="1" x14ac:dyDescent="0.35">
      <c r="A24" s="465">
        <v>19</v>
      </c>
      <c r="B24" s="466" t="s">
        <v>843</v>
      </c>
      <c r="C24" s="467">
        <v>0.03</v>
      </c>
      <c r="D24" s="468" t="s">
        <v>437</v>
      </c>
      <c r="E24" s="467">
        <v>58080</v>
      </c>
      <c r="F24" s="468"/>
      <c r="G24" s="467">
        <v>580800</v>
      </c>
      <c r="H24" s="467">
        <f t="shared" si="0"/>
        <v>58.08</v>
      </c>
      <c r="I24" s="128">
        <v>2.9000000000000001E-2</v>
      </c>
      <c r="J24" s="128">
        <f t="shared" si="1"/>
        <v>1.61E-2</v>
      </c>
      <c r="K24" s="128">
        <f t="shared" si="2"/>
        <v>3.7579999999999995E-2</v>
      </c>
      <c r="L24" s="128">
        <f t="shared" si="3"/>
        <v>6.658E-2</v>
      </c>
      <c r="M24" s="155">
        <f t="shared" si="4"/>
        <v>58080.066579999999</v>
      </c>
      <c r="N24" s="469">
        <f t="shared" si="5"/>
        <v>290.54707999999999</v>
      </c>
      <c r="O24" s="467"/>
      <c r="P24" s="467">
        <f t="shared" si="6"/>
        <v>290.5</v>
      </c>
      <c r="Q24" s="468" t="s">
        <v>658</v>
      </c>
      <c r="R24" s="467">
        <f t="shared" si="7"/>
        <v>291</v>
      </c>
      <c r="S24" s="464">
        <f t="shared" si="8"/>
        <v>291000</v>
      </c>
    </row>
    <row r="25" spans="1:19" ht="21" thickBot="1" x14ac:dyDescent="0.35">
      <c r="A25" s="465">
        <v>20</v>
      </c>
      <c r="B25" s="466" t="s">
        <v>844</v>
      </c>
      <c r="C25" s="467">
        <v>0.05</v>
      </c>
      <c r="D25" s="468" t="s">
        <v>437</v>
      </c>
      <c r="E25" s="467">
        <v>27800</v>
      </c>
      <c r="F25" s="468"/>
      <c r="G25" s="467">
        <v>43800</v>
      </c>
      <c r="H25" s="467">
        <f t="shared" si="0"/>
        <v>27.8</v>
      </c>
      <c r="I25" s="128">
        <v>2.9000000000000001E-2</v>
      </c>
      <c r="J25" s="128">
        <f t="shared" si="1"/>
        <v>1.61E-2</v>
      </c>
      <c r="K25" s="128">
        <f t="shared" si="2"/>
        <v>3.7579999999999995E-2</v>
      </c>
      <c r="L25" s="128">
        <f t="shared" si="3"/>
        <v>6.658E-2</v>
      </c>
      <c r="M25" s="155">
        <f t="shared" si="4"/>
        <v>27800.066579999999</v>
      </c>
      <c r="N25" s="469">
        <f t="shared" si="5"/>
        <v>139.14707999999999</v>
      </c>
      <c r="O25" s="467"/>
      <c r="P25" s="467">
        <f t="shared" si="6"/>
        <v>139.1</v>
      </c>
      <c r="Q25" s="468" t="s">
        <v>658</v>
      </c>
      <c r="R25" s="467">
        <f t="shared" si="7"/>
        <v>139</v>
      </c>
      <c r="S25" s="464">
        <f t="shared" si="8"/>
        <v>139000</v>
      </c>
    </row>
    <row r="26" spans="1:19" ht="21" thickBot="1" x14ac:dyDescent="0.35">
      <c r="A26" s="465">
        <v>21</v>
      </c>
      <c r="B26" s="466" t="s">
        <v>845</v>
      </c>
      <c r="C26" s="467">
        <v>760</v>
      </c>
      <c r="D26" s="468" t="s">
        <v>437</v>
      </c>
      <c r="E26" s="467">
        <v>500</v>
      </c>
      <c r="F26" s="468"/>
      <c r="G26" s="467">
        <v>5000</v>
      </c>
      <c r="H26" s="467">
        <f t="shared" si="0"/>
        <v>0.5</v>
      </c>
      <c r="I26" s="128">
        <v>2.9000000000000001E-2</v>
      </c>
      <c r="J26" s="128">
        <f t="shared" si="1"/>
        <v>1.61E-2</v>
      </c>
      <c r="K26" s="128">
        <f t="shared" si="2"/>
        <v>3.7579999999999995E-2</v>
      </c>
      <c r="L26" s="128">
        <f t="shared" si="3"/>
        <v>6.658E-2</v>
      </c>
      <c r="M26" s="155">
        <f t="shared" si="4"/>
        <v>500.06657999999999</v>
      </c>
      <c r="N26" s="469">
        <f t="shared" si="5"/>
        <v>2.6470799999999999</v>
      </c>
      <c r="O26" s="467"/>
      <c r="P26" s="467">
        <f t="shared" si="6"/>
        <v>2.6</v>
      </c>
      <c r="Q26" s="468" t="s">
        <v>658</v>
      </c>
      <c r="R26" s="467">
        <f t="shared" si="7"/>
        <v>3</v>
      </c>
      <c r="S26" s="464">
        <f t="shared" si="8"/>
        <v>3000</v>
      </c>
    </row>
    <row r="27" spans="1:19" ht="21" thickBot="1" x14ac:dyDescent="0.35">
      <c r="A27" s="465">
        <v>22</v>
      </c>
      <c r="B27" s="466" t="s">
        <v>846</v>
      </c>
      <c r="C27" s="467">
        <v>0.3</v>
      </c>
      <c r="D27" s="468" t="s">
        <v>638</v>
      </c>
      <c r="E27" s="467">
        <v>26500</v>
      </c>
      <c r="F27" s="468"/>
      <c r="G27" s="467">
        <v>280700</v>
      </c>
      <c r="H27" s="467">
        <f t="shared" si="0"/>
        <v>26.5</v>
      </c>
      <c r="I27" s="128">
        <v>2.9000000000000001E-2</v>
      </c>
      <c r="J27" s="128">
        <f t="shared" si="1"/>
        <v>1.61E-2</v>
      </c>
      <c r="K27" s="128">
        <f t="shared" si="2"/>
        <v>3.7579999999999995E-2</v>
      </c>
      <c r="L27" s="128">
        <f t="shared" si="3"/>
        <v>6.658E-2</v>
      </c>
      <c r="M27" s="155">
        <f t="shared" si="4"/>
        <v>26500.066579999999</v>
      </c>
      <c r="N27" s="469">
        <f t="shared" si="5"/>
        <v>132.64707999999999</v>
      </c>
      <c r="O27" s="467"/>
      <c r="P27" s="467">
        <f t="shared" si="6"/>
        <v>132.6</v>
      </c>
      <c r="Q27" s="468" t="s">
        <v>658</v>
      </c>
      <c r="R27" s="467">
        <f t="shared" si="7"/>
        <v>133</v>
      </c>
      <c r="S27" s="464">
        <f t="shared" si="8"/>
        <v>133000</v>
      </c>
    </row>
    <row r="28" spans="1:19" ht="21" thickBot="1" x14ac:dyDescent="0.35">
      <c r="A28" s="465">
        <v>23</v>
      </c>
      <c r="B28" s="466" t="s">
        <v>847</v>
      </c>
      <c r="C28" s="467">
        <v>94</v>
      </c>
      <c r="D28" s="468" t="s">
        <v>437</v>
      </c>
      <c r="E28" s="467">
        <v>701</v>
      </c>
      <c r="F28" s="468"/>
      <c r="G28" s="467">
        <v>6868.9</v>
      </c>
      <c r="H28" s="467">
        <f t="shared" si="0"/>
        <v>0.70099999999999996</v>
      </c>
      <c r="I28" s="128">
        <v>2.9000000000000001E-2</v>
      </c>
      <c r="J28" s="128">
        <f t="shared" si="1"/>
        <v>1.61E-2</v>
      </c>
      <c r="K28" s="128">
        <f t="shared" si="2"/>
        <v>3.7579999999999995E-2</v>
      </c>
      <c r="L28" s="128">
        <f t="shared" si="3"/>
        <v>6.658E-2</v>
      </c>
      <c r="M28" s="155">
        <f t="shared" si="4"/>
        <v>701.06658000000004</v>
      </c>
      <c r="N28" s="469">
        <f t="shared" si="5"/>
        <v>3.6520799999999998</v>
      </c>
      <c r="O28" s="467"/>
      <c r="P28" s="467">
        <f t="shared" si="6"/>
        <v>3.7</v>
      </c>
      <c r="Q28" s="468" t="s">
        <v>658</v>
      </c>
      <c r="R28" s="467">
        <f t="shared" si="7"/>
        <v>4</v>
      </c>
      <c r="S28" s="464">
        <f t="shared" si="8"/>
        <v>4000</v>
      </c>
    </row>
    <row r="29" spans="1:19" ht="21" thickBot="1" x14ac:dyDescent="0.35">
      <c r="A29" s="465">
        <v>24</v>
      </c>
      <c r="B29" s="466" t="s">
        <v>848</v>
      </c>
      <c r="C29" s="467">
        <v>430.3</v>
      </c>
      <c r="D29" s="468" t="s">
        <v>437</v>
      </c>
      <c r="E29" s="467">
        <v>1200</v>
      </c>
      <c r="F29" s="468"/>
      <c r="G29" s="467">
        <v>15082.3</v>
      </c>
      <c r="H29" s="467">
        <f t="shared" si="0"/>
        <v>1.2</v>
      </c>
      <c r="I29" s="128">
        <v>2.9000000000000001E-2</v>
      </c>
      <c r="J29" s="128">
        <f t="shared" si="1"/>
        <v>1.61E-2</v>
      </c>
      <c r="K29" s="128">
        <f t="shared" si="2"/>
        <v>3.7579999999999995E-2</v>
      </c>
      <c r="L29" s="128">
        <f t="shared" si="3"/>
        <v>6.658E-2</v>
      </c>
      <c r="M29" s="155">
        <f t="shared" si="4"/>
        <v>1200.0665799999999</v>
      </c>
      <c r="N29" s="469">
        <f t="shared" si="5"/>
        <v>6.1470799999999999</v>
      </c>
      <c r="O29" s="467"/>
      <c r="P29" s="467">
        <f t="shared" si="6"/>
        <v>6.1</v>
      </c>
      <c r="Q29" s="468" t="s">
        <v>658</v>
      </c>
      <c r="R29" s="467">
        <f t="shared" si="7"/>
        <v>6</v>
      </c>
      <c r="S29" s="464">
        <f t="shared" si="8"/>
        <v>6000</v>
      </c>
    </row>
    <row r="30" spans="1:19" ht="21" thickBot="1" x14ac:dyDescent="0.35">
      <c r="A30" s="465">
        <v>25</v>
      </c>
      <c r="B30" s="467" t="s">
        <v>849</v>
      </c>
      <c r="C30" s="467">
        <v>7120</v>
      </c>
      <c r="D30" s="468" t="s">
        <v>437</v>
      </c>
      <c r="E30" s="467">
        <v>834.21</v>
      </c>
      <c r="F30" s="468"/>
      <c r="G30" s="467">
        <v>8342.1</v>
      </c>
      <c r="H30" s="467">
        <f t="shared" si="0"/>
        <v>0.83421000000000001</v>
      </c>
      <c r="I30" s="128">
        <v>2.9000000000000001E-2</v>
      </c>
      <c r="J30" s="128">
        <f t="shared" si="1"/>
        <v>1.61E-2</v>
      </c>
      <c r="K30" s="128">
        <f t="shared" si="2"/>
        <v>3.7579999999999995E-2</v>
      </c>
      <c r="L30" s="128">
        <f t="shared" si="3"/>
        <v>6.658E-2</v>
      </c>
      <c r="M30" s="155">
        <f t="shared" si="4"/>
        <v>834.27658000000008</v>
      </c>
      <c r="N30" s="469">
        <f t="shared" si="5"/>
        <v>4.31813</v>
      </c>
      <c r="O30" s="467"/>
      <c r="P30" s="467">
        <f t="shared" si="6"/>
        <v>4.3</v>
      </c>
      <c r="Q30" s="468" t="s">
        <v>658</v>
      </c>
      <c r="R30" s="467">
        <f t="shared" si="7"/>
        <v>4</v>
      </c>
      <c r="S30" s="464">
        <f t="shared" si="8"/>
        <v>4000</v>
      </c>
    </row>
    <row r="31" spans="1:19" ht="21" thickBot="1" x14ac:dyDescent="0.35">
      <c r="A31" s="465">
        <v>26</v>
      </c>
      <c r="B31" s="467" t="s">
        <v>850</v>
      </c>
      <c r="C31" s="467">
        <v>88</v>
      </c>
      <c r="D31" s="468" t="s">
        <v>437</v>
      </c>
      <c r="E31" s="467">
        <v>670</v>
      </c>
      <c r="F31" s="468"/>
      <c r="G31" s="467">
        <v>6700</v>
      </c>
      <c r="H31" s="467">
        <f t="shared" si="0"/>
        <v>0.67</v>
      </c>
      <c r="I31" s="128">
        <v>2.9000000000000001E-2</v>
      </c>
      <c r="J31" s="128">
        <f t="shared" si="1"/>
        <v>1.61E-2</v>
      </c>
      <c r="K31" s="128">
        <f t="shared" si="2"/>
        <v>3.7579999999999995E-2</v>
      </c>
      <c r="L31" s="128">
        <f t="shared" si="3"/>
        <v>6.658E-2</v>
      </c>
      <c r="M31" s="155">
        <f t="shared" si="4"/>
        <v>670.06658000000004</v>
      </c>
      <c r="N31" s="469">
        <f t="shared" si="5"/>
        <v>3.4970800000000004</v>
      </c>
      <c r="O31" s="467"/>
      <c r="P31" s="467">
        <f t="shared" si="6"/>
        <v>3.5</v>
      </c>
      <c r="Q31" s="468" t="s">
        <v>658</v>
      </c>
      <c r="R31" s="467">
        <f t="shared" si="7"/>
        <v>3</v>
      </c>
      <c r="S31" s="464">
        <f t="shared" si="8"/>
        <v>3000</v>
      </c>
    </row>
    <row r="32" spans="1:19" ht="21" thickBot="1" x14ac:dyDescent="0.35">
      <c r="A32" s="465">
        <v>27</v>
      </c>
      <c r="B32" s="467" t="s">
        <v>851</v>
      </c>
      <c r="C32" s="467">
        <v>8</v>
      </c>
      <c r="D32" s="468" t="s">
        <v>437</v>
      </c>
      <c r="E32" s="467">
        <v>1300</v>
      </c>
      <c r="F32" s="468"/>
      <c r="G32" s="467">
        <v>18000</v>
      </c>
      <c r="H32" s="467">
        <f t="shared" si="0"/>
        <v>1.3</v>
      </c>
      <c r="I32" s="128">
        <v>2.9000000000000001E-2</v>
      </c>
      <c r="J32" s="128">
        <f t="shared" si="1"/>
        <v>1.61E-2</v>
      </c>
      <c r="K32" s="128">
        <f t="shared" si="2"/>
        <v>3.7579999999999995E-2</v>
      </c>
      <c r="L32" s="128">
        <f t="shared" si="3"/>
        <v>6.658E-2</v>
      </c>
      <c r="M32" s="155">
        <f t="shared" si="4"/>
        <v>1300.0665799999999</v>
      </c>
      <c r="N32" s="469">
        <f t="shared" si="5"/>
        <v>6.6470800000000008</v>
      </c>
      <c r="O32" s="467"/>
      <c r="P32" s="467">
        <f t="shared" si="6"/>
        <v>6.6</v>
      </c>
      <c r="Q32" s="468" t="s">
        <v>658</v>
      </c>
      <c r="R32" s="467">
        <f t="shared" si="7"/>
        <v>7</v>
      </c>
      <c r="S32" s="464">
        <f t="shared" si="8"/>
        <v>7000</v>
      </c>
    </row>
    <row r="33" spans="1:19" ht="21" thickBot="1" x14ac:dyDescent="0.35">
      <c r="A33" s="465">
        <v>28</v>
      </c>
      <c r="B33" s="466" t="s">
        <v>852</v>
      </c>
      <c r="C33" s="467">
        <v>1777</v>
      </c>
      <c r="D33" s="468" t="s">
        <v>437</v>
      </c>
      <c r="E33" s="467">
        <v>738.8</v>
      </c>
      <c r="F33" s="468"/>
      <c r="G33" s="467">
        <v>7388</v>
      </c>
      <c r="H33" s="467">
        <f t="shared" si="0"/>
        <v>0.7387999999999999</v>
      </c>
      <c r="I33" s="128">
        <v>2.9000000000000001E-2</v>
      </c>
      <c r="J33" s="128">
        <f t="shared" si="1"/>
        <v>1.61E-2</v>
      </c>
      <c r="K33" s="128">
        <f t="shared" si="2"/>
        <v>3.7579999999999995E-2</v>
      </c>
      <c r="L33" s="128">
        <f t="shared" si="3"/>
        <v>6.658E-2</v>
      </c>
      <c r="M33" s="155">
        <f t="shared" si="4"/>
        <v>738.86658</v>
      </c>
      <c r="N33" s="469">
        <f t="shared" si="5"/>
        <v>3.8410799999999998</v>
      </c>
      <c r="O33" s="467"/>
      <c r="P33" s="467">
        <f t="shared" si="6"/>
        <v>3.8</v>
      </c>
      <c r="Q33" s="468" t="s">
        <v>658</v>
      </c>
      <c r="R33" s="467">
        <f t="shared" si="7"/>
        <v>4</v>
      </c>
      <c r="S33" s="464">
        <f t="shared" si="8"/>
        <v>4000</v>
      </c>
    </row>
    <row r="34" spans="1:19" ht="21" thickBot="1" x14ac:dyDescent="0.35">
      <c r="A34" s="465">
        <v>29</v>
      </c>
      <c r="B34" s="466" t="s">
        <v>853</v>
      </c>
      <c r="C34" s="467">
        <v>150</v>
      </c>
      <c r="D34" s="468" t="s">
        <v>437</v>
      </c>
      <c r="E34" s="467">
        <v>620</v>
      </c>
      <c r="F34" s="468"/>
      <c r="G34" s="467">
        <v>6200</v>
      </c>
      <c r="H34" s="467">
        <f t="shared" si="0"/>
        <v>0.62</v>
      </c>
      <c r="I34" s="128">
        <v>2.9000000000000001E-2</v>
      </c>
      <c r="J34" s="128">
        <f t="shared" si="1"/>
        <v>1.61E-2</v>
      </c>
      <c r="K34" s="128">
        <f t="shared" si="2"/>
        <v>3.7579999999999995E-2</v>
      </c>
      <c r="L34" s="128">
        <f t="shared" si="3"/>
        <v>6.658E-2</v>
      </c>
      <c r="M34" s="155">
        <f t="shared" si="4"/>
        <v>620.06658000000004</v>
      </c>
      <c r="N34" s="469">
        <f t="shared" si="5"/>
        <v>3.24708</v>
      </c>
      <c r="O34" s="467"/>
      <c r="P34" s="467">
        <f t="shared" si="6"/>
        <v>3.2</v>
      </c>
      <c r="Q34" s="468" t="s">
        <v>658</v>
      </c>
      <c r="R34" s="467">
        <f t="shared" si="7"/>
        <v>3</v>
      </c>
      <c r="S34" s="464">
        <f t="shared" si="8"/>
        <v>3000</v>
      </c>
    </row>
    <row r="35" spans="1:19" ht="21" thickBot="1" x14ac:dyDescent="0.35">
      <c r="A35" s="465">
        <v>30</v>
      </c>
      <c r="B35" s="466" t="s">
        <v>854</v>
      </c>
      <c r="C35" s="467">
        <v>0.3</v>
      </c>
      <c r="D35" s="468" t="s">
        <v>638</v>
      </c>
      <c r="E35" s="467">
        <v>9500</v>
      </c>
      <c r="F35" s="468"/>
      <c r="G35" s="467">
        <v>99600</v>
      </c>
      <c r="H35" s="467">
        <f t="shared" si="0"/>
        <v>9.5</v>
      </c>
      <c r="I35" s="128">
        <v>2.9000000000000001E-2</v>
      </c>
      <c r="J35" s="128">
        <f t="shared" si="1"/>
        <v>1.61E-2</v>
      </c>
      <c r="K35" s="128">
        <f t="shared" si="2"/>
        <v>3.7579999999999995E-2</v>
      </c>
      <c r="L35" s="128">
        <f t="shared" si="3"/>
        <v>6.658E-2</v>
      </c>
      <c r="M35" s="155">
        <f t="shared" si="4"/>
        <v>9500.0665800000006</v>
      </c>
      <c r="N35" s="469">
        <f t="shared" si="5"/>
        <v>47.647080000000003</v>
      </c>
      <c r="O35" s="467"/>
      <c r="P35" s="467">
        <f t="shared" si="6"/>
        <v>47.6</v>
      </c>
      <c r="Q35" s="468" t="s">
        <v>658</v>
      </c>
      <c r="R35" s="467">
        <f t="shared" si="7"/>
        <v>48</v>
      </c>
      <c r="S35" s="464">
        <f t="shared" si="8"/>
        <v>48000</v>
      </c>
    </row>
    <row r="36" spans="1:19" ht="21" thickBot="1" x14ac:dyDescent="0.35">
      <c r="A36" s="465">
        <v>31</v>
      </c>
      <c r="B36" s="467" t="s">
        <v>855</v>
      </c>
      <c r="C36" s="467">
        <v>5725</v>
      </c>
      <c r="D36" s="468" t="s">
        <v>437</v>
      </c>
      <c r="E36" s="467">
        <v>670</v>
      </c>
      <c r="F36" s="468"/>
      <c r="G36" s="467">
        <v>6700</v>
      </c>
      <c r="H36" s="467">
        <f t="shared" si="0"/>
        <v>0.67</v>
      </c>
      <c r="I36" s="128">
        <v>2.9000000000000001E-2</v>
      </c>
      <c r="J36" s="128">
        <f t="shared" si="1"/>
        <v>1.61E-2</v>
      </c>
      <c r="K36" s="128">
        <f t="shared" si="2"/>
        <v>3.7579999999999995E-2</v>
      </c>
      <c r="L36" s="128">
        <f t="shared" si="3"/>
        <v>6.658E-2</v>
      </c>
      <c r="M36" s="155">
        <f t="shared" si="4"/>
        <v>670.06658000000004</v>
      </c>
      <c r="N36" s="469">
        <f t="shared" si="5"/>
        <v>3.4970800000000004</v>
      </c>
      <c r="O36" s="467"/>
      <c r="P36" s="467">
        <f t="shared" si="6"/>
        <v>3.5</v>
      </c>
      <c r="Q36" s="468" t="s">
        <v>658</v>
      </c>
      <c r="R36" s="467">
        <f t="shared" si="7"/>
        <v>3</v>
      </c>
      <c r="S36" s="464">
        <f t="shared" si="8"/>
        <v>3000</v>
      </c>
    </row>
    <row r="37" spans="1:19" ht="21" thickBot="1" x14ac:dyDescent="0.35">
      <c r="A37" s="465">
        <v>32</v>
      </c>
      <c r="B37" s="467" t="s">
        <v>856</v>
      </c>
      <c r="C37" s="467">
        <v>6250</v>
      </c>
      <c r="D37" s="468" t="s">
        <v>437</v>
      </c>
      <c r="E37" s="467">
        <v>660.59</v>
      </c>
      <c r="F37" s="468"/>
      <c r="G37" s="467">
        <v>6605.9</v>
      </c>
      <c r="H37" s="467">
        <f t="shared" si="0"/>
        <v>0.66059000000000001</v>
      </c>
      <c r="I37" s="128">
        <v>2.9000000000000001E-2</v>
      </c>
      <c r="J37" s="128">
        <f t="shared" si="1"/>
        <v>1.61E-2</v>
      </c>
      <c r="K37" s="128">
        <f t="shared" si="2"/>
        <v>3.7579999999999995E-2</v>
      </c>
      <c r="L37" s="128">
        <f t="shared" si="3"/>
        <v>6.658E-2</v>
      </c>
      <c r="M37" s="155">
        <f t="shared" si="4"/>
        <v>660.65658000000008</v>
      </c>
      <c r="N37" s="469">
        <f t="shared" si="5"/>
        <v>3.4500299999999999</v>
      </c>
      <c r="O37" s="467"/>
      <c r="P37" s="467">
        <f t="shared" si="6"/>
        <v>3.5</v>
      </c>
      <c r="Q37" s="468" t="s">
        <v>658</v>
      </c>
      <c r="R37" s="467">
        <f t="shared" si="7"/>
        <v>3</v>
      </c>
      <c r="S37" s="464">
        <f t="shared" si="8"/>
        <v>3000</v>
      </c>
    </row>
    <row r="38" spans="1:19" s="402" customFormat="1" ht="21" thickBot="1" x14ac:dyDescent="0.35">
      <c r="A38" s="465">
        <v>33</v>
      </c>
      <c r="B38" s="467" t="s">
        <v>857</v>
      </c>
      <c r="C38" s="467">
        <v>567.9</v>
      </c>
      <c r="D38" s="468" t="s">
        <v>437</v>
      </c>
      <c r="E38" s="467">
        <v>1300</v>
      </c>
      <c r="F38" s="468"/>
      <c r="G38" s="467">
        <v>18000</v>
      </c>
      <c r="H38" s="467">
        <f t="shared" ref="H38:H67" si="9">E38/1000</f>
        <v>1.3</v>
      </c>
      <c r="I38" s="128">
        <v>2.9000000000000001E-2</v>
      </c>
      <c r="J38" s="128">
        <f t="shared" ref="J38:J67" si="10">16.1/1000</f>
        <v>1.61E-2</v>
      </c>
      <c r="K38" s="128">
        <f t="shared" ref="K38:K67" si="11">(53.68-16.1)/1000</f>
        <v>3.7579999999999995E-2</v>
      </c>
      <c r="L38" s="128">
        <f t="shared" ref="L38:L67" si="12">I38+K38</f>
        <v>6.658E-2</v>
      </c>
      <c r="M38" s="155">
        <f t="shared" ref="M38:M67" si="13">E38+L38</f>
        <v>1300.0665799999999</v>
      </c>
      <c r="N38" s="469">
        <f t="shared" ref="N38:N67" si="14">(H38+J38)*5+L38</f>
        <v>6.6470800000000008</v>
      </c>
      <c r="O38" s="467"/>
      <c r="P38" s="467">
        <f t="shared" ref="P38:P67" si="15">ROUND(N38,1)</f>
        <v>6.6</v>
      </c>
      <c r="Q38" s="468" t="s">
        <v>658</v>
      </c>
      <c r="R38" s="467">
        <f t="shared" ref="R38:R67" si="16">ROUND(N38,0)</f>
        <v>7</v>
      </c>
      <c r="S38" s="464">
        <f t="shared" ref="S38:S67" si="17">R38*1000</f>
        <v>7000</v>
      </c>
    </row>
    <row r="39" spans="1:19" ht="21" thickBot="1" x14ac:dyDescent="0.35">
      <c r="A39" s="465">
        <v>34</v>
      </c>
      <c r="B39" s="467" t="s">
        <v>858</v>
      </c>
      <c r="C39" s="467">
        <v>5</v>
      </c>
      <c r="D39" s="468" t="s">
        <v>437</v>
      </c>
      <c r="E39" s="467">
        <v>1300</v>
      </c>
      <c r="F39" s="468"/>
      <c r="G39" s="467">
        <v>18000</v>
      </c>
      <c r="H39" s="467">
        <f t="shared" si="9"/>
        <v>1.3</v>
      </c>
      <c r="I39" s="128">
        <v>2.9000000000000001E-2</v>
      </c>
      <c r="J39" s="128">
        <f t="shared" si="10"/>
        <v>1.61E-2</v>
      </c>
      <c r="K39" s="128">
        <f t="shared" si="11"/>
        <v>3.7579999999999995E-2</v>
      </c>
      <c r="L39" s="128">
        <f t="shared" si="12"/>
        <v>6.658E-2</v>
      </c>
      <c r="M39" s="155">
        <f t="shared" si="13"/>
        <v>1300.0665799999999</v>
      </c>
      <c r="N39" s="469">
        <f t="shared" si="14"/>
        <v>6.6470800000000008</v>
      </c>
      <c r="O39" s="467"/>
      <c r="P39" s="467">
        <f t="shared" si="15"/>
        <v>6.6</v>
      </c>
      <c r="Q39" s="468" t="s">
        <v>658</v>
      </c>
      <c r="R39" s="467">
        <f t="shared" si="16"/>
        <v>7</v>
      </c>
      <c r="S39" s="464">
        <f t="shared" si="17"/>
        <v>7000</v>
      </c>
    </row>
    <row r="40" spans="1:19" ht="21" thickBot="1" x14ac:dyDescent="0.35">
      <c r="A40" s="465">
        <v>35</v>
      </c>
      <c r="B40" s="467" t="s">
        <v>859</v>
      </c>
      <c r="C40" s="467">
        <v>10</v>
      </c>
      <c r="D40" s="468" t="s">
        <v>437</v>
      </c>
      <c r="E40" s="467">
        <v>670</v>
      </c>
      <c r="F40" s="468"/>
      <c r="G40" s="467">
        <v>6700</v>
      </c>
      <c r="H40" s="467">
        <f t="shared" si="9"/>
        <v>0.67</v>
      </c>
      <c r="I40" s="128">
        <v>2.9000000000000001E-2</v>
      </c>
      <c r="J40" s="128">
        <f t="shared" si="10"/>
        <v>1.61E-2</v>
      </c>
      <c r="K40" s="128">
        <f t="shared" si="11"/>
        <v>3.7579999999999995E-2</v>
      </c>
      <c r="L40" s="128">
        <f t="shared" si="12"/>
        <v>6.658E-2</v>
      </c>
      <c r="M40" s="155">
        <f t="shared" si="13"/>
        <v>670.06658000000004</v>
      </c>
      <c r="N40" s="469">
        <f t="shared" si="14"/>
        <v>3.4970800000000004</v>
      </c>
      <c r="O40" s="467"/>
      <c r="P40" s="467">
        <f t="shared" si="15"/>
        <v>3.5</v>
      </c>
      <c r="Q40" s="468" t="s">
        <v>658</v>
      </c>
      <c r="R40" s="467">
        <f t="shared" si="16"/>
        <v>3</v>
      </c>
      <c r="S40" s="464">
        <f t="shared" si="17"/>
        <v>3000</v>
      </c>
    </row>
    <row r="41" spans="1:19" ht="21" thickBot="1" x14ac:dyDescent="0.35">
      <c r="A41" s="465">
        <v>36</v>
      </c>
      <c r="B41" s="467" t="s">
        <v>860</v>
      </c>
      <c r="C41" s="467">
        <v>2527</v>
      </c>
      <c r="D41" s="468" t="s">
        <v>437</v>
      </c>
      <c r="E41" s="467">
        <v>523.91</v>
      </c>
      <c r="F41" s="468"/>
      <c r="G41" s="467">
        <v>5239.1000000000004</v>
      </c>
      <c r="H41" s="467">
        <f t="shared" si="9"/>
        <v>0.52390999999999999</v>
      </c>
      <c r="I41" s="128">
        <v>2.9000000000000001E-2</v>
      </c>
      <c r="J41" s="128">
        <f t="shared" si="10"/>
        <v>1.61E-2</v>
      </c>
      <c r="K41" s="128">
        <f t="shared" si="11"/>
        <v>3.7579999999999995E-2</v>
      </c>
      <c r="L41" s="128">
        <f t="shared" si="12"/>
        <v>6.658E-2</v>
      </c>
      <c r="M41" s="155">
        <f t="shared" si="13"/>
        <v>523.97658000000001</v>
      </c>
      <c r="N41" s="469">
        <f t="shared" si="14"/>
        <v>2.7666300000000001</v>
      </c>
      <c r="O41" s="467"/>
      <c r="P41" s="467">
        <f t="shared" si="15"/>
        <v>2.8</v>
      </c>
      <c r="Q41" s="468" t="s">
        <v>658</v>
      </c>
      <c r="R41" s="467">
        <f t="shared" si="16"/>
        <v>3</v>
      </c>
      <c r="S41" s="464">
        <f t="shared" si="17"/>
        <v>3000</v>
      </c>
    </row>
    <row r="42" spans="1:19" ht="21" thickBot="1" x14ac:dyDescent="0.35">
      <c r="A42" s="465">
        <v>37</v>
      </c>
      <c r="B42" s="467" t="s">
        <v>861</v>
      </c>
      <c r="C42" s="467">
        <v>10</v>
      </c>
      <c r="D42" s="468" t="s">
        <v>437</v>
      </c>
      <c r="E42" s="467">
        <v>1300</v>
      </c>
      <c r="F42" s="468"/>
      <c r="G42" s="467">
        <v>18000</v>
      </c>
      <c r="H42" s="467">
        <f t="shared" si="9"/>
        <v>1.3</v>
      </c>
      <c r="I42" s="128">
        <v>2.9000000000000001E-2</v>
      </c>
      <c r="J42" s="128">
        <f t="shared" si="10"/>
        <v>1.61E-2</v>
      </c>
      <c r="K42" s="128">
        <f t="shared" si="11"/>
        <v>3.7579999999999995E-2</v>
      </c>
      <c r="L42" s="128">
        <f t="shared" si="12"/>
        <v>6.658E-2</v>
      </c>
      <c r="M42" s="155">
        <f t="shared" si="13"/>
        <v>1300.0665799999999</v>
      </c>
      <c r="N42" s="469">
        <f t="shared" si="14"/>
        <v>6.6470800000000008</v>
      </c>
      <c r="O42" s="467"/>
      <c r="P42" s="467">
        <f t="shared" si="15"/>
        <v>6.6</v>
      </c>
      <c r="Q42" s="468" t="s">
        <v>658</v>
      </c>
      <c r="R42" s="467">
        <f t="shared" si="16"/>
        <v>7</v>
      </c>
      <c r="S42" s="464">
        <f t="shared" si="17"/>
        <v>7000</v>
      </c>
    </row>
    <row r="43" spans="1:19" ht="21" thickBot="1" x14ac:dyDescent="0.35">
      <c r="A43" s="465">
        <v>38</v>
      </c>
      <c r="B43" s="467" t="s">
        <v>862</v>
      </c>
      <c r="C43" s="467">
        <v>9</v>
      </c>
      <c r="D43" s="468" t="s">
        <v>437</v>
      </c>
      <c r="E43" s="467">
        <v>1300</v>
      </c>
      <c r="F43" s="468"/>
      <c r="G43" s="467">
        <v>18000</v>
      </c>
      <c r="H43" s="467">
        <f t="shared" si="9"/>
        <v>1.3</v>
      </c>
      <c r="I43" s="128">
        <v>2.9000000000000001E-2</v>
      </c>
      <c r="J43" s="128">
        <f t="shared" si="10"/>
        <v>1.61E-2</v>
      </c>
      <c r="K43" s="128">
        <f t="shared" si="11"/>
        <v>3.7579999999999995E-2</v>
      </c>
      <c r="L43" s="128">
        <f t="shared" si="12"/>
        <v>6.658E-2</v>
      </c>
      <c r="M43" s="155">
        <f t="shared" si="13"/>
        <v>1300.0665799999999</v>
      </c>
      <c r="N43" s="469">
        <f t="shared" si="14"/>
        <v>6.6470800000000008</v>
      </c>
      <c r="O43" s="467"/>
      <c r="P43" s="467">
        <f t="shared" si="15"/>
        <v>6.6</v>
      </c>
      <c r="Q43" s="468" t="s">
        <v>658</v>
      </c>
      <c r="R43" s="467">
        <f t="shared" si="16"/>
        <v>7</v>
      </c>
      <c r="S43" s="464">
        <f t="shared" si="17"/>
        <v>7000</v>
      </c>
    </row>
    <row r="44" spans="1:19" ht="21" thickBot="1" x14ac:dyDescent="0.35">
      <c r="A44" s="465">
        <v>39</v>
      </c>
      <c r="B44" s="467" t="s">
        <v>863</v>
      </c>
      <c r="C44" s="467"/>
      <c r="D44" s="468" t="s">
        <v>437</v>
      </c>
      <c r="E44" s="467">
        <v>479.39</v>
      </c>
      <c r="F44" s="468"/>
      <c r="G44" s="467">
        <v>4793.8999999999996</v>
      </c>
      <c r="H44" s="467">
        <f t="shared" si="9"/>
        <v>0.47938999999999998</v>
      </c>
      <c r="I44" s="128">
        <v>2.9000000000000001E-2</v>
      </c>
      <c r="J44" s="128">
        <f t="shared" si="10"/>
        <v>1.61E-2</v>
      </c>
      <c r="K44" s="128">
        <f t="shared" si="11"/>
        <v>3.7579999999999995E-2</v>
      </c>
      <c r="L44" s="128">
        <f t="shared" si="12"/>
        <v>6.658E-2</v>
      </c>
      <c r="M44" s="155">
        <f t="shared" si="13"/>
        <v>479.45657999999997</v>
      </c>
      <c r="N44" s="469">
        <f t="shared" si="14"/>
        <v>2.5440300000000002</v>
      </c>
      <c r="O44" s="467"/>
      <c r="P44" s="467">
        <f t="shared" si="15"/>
        <v>2.5</v>
      </c>
      <c r="Q44" s="468" t="s">
        <v>658</v>
      </c>
      <c r="R44" s="467">
        <f t="shared" si="16"/>
        <v>3</v>
      </c>
      <c r="S44" s="464">
        <f t="shared" si="17"/>
        <v>3000</v>
      </c>
    </row>
    <row r="45" spans="1:19" ht="21" thickBot="1" x14ac:dyDescent="0.35">
      <c r="A45" s="465">
        <v>40</v>
      </c>
      <c r="B45" s="467" t="s">
        <v>864</v>
      </c>
      <c r="C45" s="467">
        <v>4662</v>
      </c>
      <c r="D45" s="468" t="s">
        <v>437</v>
      </c>
      <c r="E45" s="467">
        <v>576.16</v>
      </c>
      <c r="F45" s="468"/>
      <c r="G45" s="467">
        <v>5761.6</v>
      </c>
      <c r="H45" s="467">
        <f t="shared" si="9"/>
        <v>0.57616000000000001</v>
      </c>
      <c r="I45" s="128">
        <v>2.9000000000000001E-2</v>
      </c>
      <c r="J45" s="128">
        <f t="shared" si="10"/>
        <v>1.61E-2</v>
      </c>
      <c r="K45" s="128">
        <f t="shared" si="11"/>
        <v>3.7579999999999995E-2</v>
      </c>
      <c r="L45" s="128">
        <f t="shared" si="12"/>
        <v>6.658E-2</v>
      </c>
      <c r="M45" s="155">
        <f t="shared" si="13"/>
        <v>576.22658000000001</v>
      </c>
      <c r="N45" s="469">
        <f t="shared" si="14"/>
        <v>3.0278800000000001</v>
      </c>
      <c r="O45" s="467"/>
      <c r="P45" s="467">
        <f t="shared" si="15"/>
        <v>3</v>
      </c>
      <c r="Q45" s="468" t="s">
        <v>658</v>
      </c>
      <c r="R45" s="467">
        <f t="shared" si="16"/>
        <v>3</v>
      </c>
      <c r="S45" s="464">
        <f t="shared" si="17"/>
        <v>3000</v>
      </c>
    </row>
    <row r="46" spans="1:19" ht="21" thickBot="1" x14ac:dyDescent="0.35">
      <c r="A46" s="465">
        <v>41</v>
      </c>
      <c r="B46" s="467" t="s">
        <v>865</v>
      </c>
      <c r="C46" s="467">
        <v>4000</v>
      </c>
      <c r="D46" s="468" t="s">
        <v>437</v>
      </c>
      <c r="E46" s="467">
        <v>635.04</v>
      </c>
      <c r="F46" s="468"/>
      <c r="G46" s="467">
        <v>6350.4</v>
      </c>
      <c r="H46" s="467">
        <f t="shared" si="9"/>
        <v>0.63503999999999994</v>
      </c>
      <c r="I46" s="128">
        <v>2.9000000000000001E-2</v>
      </c>
      <c r="J46" s="128">
        <f t="shared" si="10"/>
        <v>1.61E-2</v>
      </c>
      <c r="K46" s="128">
        <f t="shared" si="11"/>
        <v>3.7579999999999995E-2</v>
      </c>
      <c r="L46" s="128">
        <f t="shared" si="12"/>
        <v>6.658E-2</v>
      </c>
      <c r="M46" s="155">
        <f t="shared" si="13"/>
        <v>635.10658000000001</v>
      </c>
      <c r="N46" s="469">
        <f t="shared" si="14"/>
        <v>3.3222799999999997</v>
      </c>
      <c r="O46" s="467"/>
      <c r="P46" s="467">
        <f t="shared" si="15"/>
        <v>3.3</v>
      </c>
      <c r="Q46" s="468" t="s">
        <v>658</v>
      </c>
      <c r="R46" s="467">
        <f t="shared" si="16"/>
        <v>3</v>
      </c>
      <c r="S46" s="464">
        <f t="shared" si="17"/>
        <v>3000</v>
      </c>
    </row>
    <row r="47" spans="1:19" ht="21" thickBot="1" x14ac:dyDescent="0.35">
      <c r="A47" s="465">
        <v>42</v>
      </c>
      <c r="B47" s="467" t="s">
        <v>866</v>
      </c>
      <c r="C47" s="467">
        <v>3200</v>
      </c>
      <c r="D47" s="468" t="s">
        <v>437</v>
      </c>
      <c r="E47" s="467">
        <v>531.33000000000004</v>
      </c>
      <c r="F47" s="468"/>
      <c r="G47" s="467">
        <v>5313.3</v>
      </c>
      <c r="H47" s="467">
        <f t="shared" si="9"/>
        <v>0.53133000000000008</v>
      </c>
      <c r="I47" s="128">
        <v>2.9000000000000001E-2</v>
      </c>
      <c r="J47" s="128">
        <f t="shared" si="10"/>
        <v>1.61E-2</v>
      </c>
      <c r="K47" s="128">
        <f t="shared" si="11"/>
        <v>3.7579999999999995E-2</v>
      </c>
      <c r="L47" s="128">
        <f t="shared" si="12"/>
        <v>6.658E-2</v>
      </c>
      <c r="M47" s="155">
        <f t="shared" si="13"/>
        <v>531.39658000000009</v>
      </c>
      <c r="N47" s="469">
        <f t="shared" si="14"/>
        <v>2.8037300000000007</v>
      </c>
      <c r="O47" s="467"/>
      <c r="P47" s="467">
        <f t="shared" si="15"/>
        <v>2.8</v>
      </c>
      <c r="Q47" s="468" t="s">
        <v>658</v>
      </c>
      <c r="R47" s="467">
        <f t="shared" si="16"/>
        <v>3</v>
      </c>
      <c r="S47" s="464">
        <f t="shared" si="17"/>
        <v>3000</v>
      </c>
    </row>
    <row r="48" spans="1:19" ht="21" thickBot="1" x14ac:dyDescent="0.35">
      <c r="A48" s="465">
        <v>43</v>
      </c>
      <c r="B48" s="467" t="s">
        <v>867</v>
      </c>
      <c r="C48" s="467">
        <v>0.24</v>
      </c>
      <c r="D48" s="468" t="s">
        <v>437</v>
      </c>
      <c r="E48" s="467">
        <v>10780</v>
      </c>
      <c r="F48" s="468"/>
      <c r="G48" s="467">
        <v>107800</v>
      </c>
      <c r="H48" s="467">
        <f t="shared" si="9"/>
        <v>10.78</v>
      </c>
      <c r="I48" s="128">
        <v>2.9000000000000001E-2</v>
      </c>
      <c r="J48" s="128">
        <f t="shared" si="10"/>
        <v>1.61E-2</v>
      </c>
      <c r="K48" s="128">
        <f t="shared" si="11"/>
        <v>3.7579999999999995E-2</v>
      </c>
      <c r="L48" s="128">
        <f t="shared" si="12"/>
        <v>6.658E-2</v>
      </c>
      <c r="M48" s="155">
        <f t="shared" si="13"/>
        <v>10780.066580000001</v>
      </c>
      <c r="N48" s="469">
        <f t="shared" si="14"/>
        <v>54.047079999999994</v>
      </c>
      <c r="O48" s="467"/>
      <c r="P48" s="467">
        <f t="shared" si="15"/>
        <v>54</v>
      </c>
      <c r="Q48" s="468" t="s">
        <v>658</v>
      </c>
      <c r="R48" s="467">
        <f t="shared" si="16"/>
        <v>54</v>
      </c>
      <c r="S48" s="464">
        <f t="shared" si="17"/>
        <v>54000</v>
      </c>
    </row>
    <row r="49" spans="1:19" ht="21" thickBot="1" x14ac:dyDescent="0.35">
      <c r="A49" s="465">
        <v>44</v>
      </c>
      <c r="B49" s="467" t="s">
        <v>868</v>
      </c>
      <c r="C49" s="467">
        <v>0.48</v>
      </c>
      <c r="D49" s="468" t="s">
        <v>437</v>
      </c>
      <c r="E49" s="467">
        <v>11170</v>
      </c>
      <c r="F49" s="468"/>
      <c r="G49" s="467">
        <v>111700</v>
      </c>
      <c r="H49" s="467">
        <f t="shared" si="9"/>
        <v>11.17</v>
      </c>
      <c r="I49" s="128">
        <v>2.9000000000000001E-2</v>
      </c>
      <c r="J49" s="128">
        <f t="shared" si="10"/>
        <v>1.61E-2</v>
      </c>
      <c r="K49" s="128">
        <f t="shared" si="11"/>
        <v>3.7579999999999995E-2</v>
      </c>
      <c r="L49" s="128">
        <f t="shared" si="12"/>
        <v>6.658E-2</v>
      </c>
      <c r="M49" s="155">
        <f t="shared" si="13"/>
        <v>11170.066580000001</v>
      </c>
      <c r="N49" s="469">
        <f t="shared" si="14"/>
        <v>55.997079999999997</v>
      </c>
      <c r="O49" s="467"/>
      <c r="P49" s="467">
        <f t="shared" si="15"/>
        <v>56</v>
      </c>
      <c r="Q49" s="468" t="s">
        <v>658</v>
      </c>
      <c r="R49" s="467">
        <f t="shared" si="16"/>
        <v>56</v>
      </c>
      <c r="S49" s="464">
        <f t="shared" si="17"/>
        <v>56000</v>
      </c>
    </row>
    <row r="50" spans="1:19" ht="21" thickBot="1" x14ac:dyDescent="0.35">
      <c r="A50" s="465">
        <v>45</v>
      </c>
      <c r="B50" s="467" t="s">
        <v>869</v>
      </c>
      <c r="C50" s="467">
        <v>0.48</v>
      </c>
      <c r="D50" s="468" t="s">
        <v>437</v>
      </c>
      <c r="E50" s="467">
        <v>11170</v>
      </c>
      <c r="F50" s="468"/>
      <c r="G50" s="467">
        <v>111700</v>
      </c>
      <c r="H50" s="467">
        <f t="shared" si="9"/>
        <v>11.17</v>
      </c>
      <c r="I50" s="128">
        <v>2.9000000000000001E-2</v>
      </c>
      <c r="J50" s="128">
        <f t="shared" si="10"/>
        <v>1.61E-2</v>
      </c>
      <c r="K50" s="128">
        <f t="shared" si="11"/>
        <v>3.7579999999999995E-2</v>
      </c>
      <c r="L50" s="128">
        <f t="shared" si="12"/>
        <v>6.658E-2</v>
      </c>
      <c r="M50" s="155">
        <f t="shared" si="13"/>
        <v>11170.066580000001</v>
      </c>
      <c r="N50" s="469">
        <f t="shared" si="14"/>
        <v>55.997079999999997</v>
      </c>
      <c r="O50" s="467"/>
      <c r="P50" s="467">
        <f t="shared" si="15"/>
        <v>56</v>
      </c>
      <c r="Q50" s="468" t="s">
        <v>658</v>
      </c>
      <c r="R50" s="467">
        <f t="shared" si="16"/>
        <v>56</v>
      </c>
      <c r="S50" s="464">
        <f t="shared" si="17"/>
        <v>56000</v>
      </c>
    </row>
    <row r="51" spans="1:19" ht="21" thickBot="1" x14ac:dyDescent="0.35">
      <c r="A51" s="465">
        <v>46</v>
      </c>
      <c r="B51" s="467" t="s">
        <v>870</v>
      </c>
      <c r="C51" s="467">
        <v>1.42</v>
      </c>
      <c r="D51" s="468" t="s">
        <v>437</v>
      </c>
      <c r="E51" s="467">
        <v>10590</v>
      </c>
      <c r="F51" s="468"/>
      <c r="G51" s="467">
        <v>105900</v>
      </c>
      <c r="H51" s="467">
        <f t="shared" si="9"/>
        <v>10.59</v>
      </c>
      <c r="I51" s="128">
        <v>2.9000000000000001E-2</v>
      </c>
      <c r="J51" s="128">
        <f t="shared" si="10"/>
        <v>1.61E-2</v>
      </c>
      <c r="K51" s="128">
        <f t="shared" si="11"/>
        <v>3.7579999999999995E-2</v>
      </c>
      <c r="L51" s="128">
        <f t="shared" si="12"/>
        <v>6.658E-2</v>
      </c>
      <c r="M51" s="155">
        <f t="shared" si="13"/>
        <v>10590.066580000001</v>
      </c>
      <c r="N51" s="469">
        <f t="shared" si="14"/>
        <v>53.097079999999998</v>
      </c>
      <c r="O51" s="467"/>
      <c r="P51" s="467">
        <f t="shared" si="15"/>
        <v>53.1</v>
      </c>
      <c r="Q51" s="468" t="s">
        <v>658</v>
      </c>
      <c r="R51" s="467">
        <f t="shared" si="16"/>
        <v>53</v>
      </c>
      <c r="S51" s="464">
        <f t="shared" si="17"/>
        <v>53000</v>
      </c>
    </row>
    <row r="52" spans="1:19" ht="21" thickBot="1" x14ac:dyDescent="0.35">
      <c r="A52" s="465">
        <v>47</v>
      </c>
      <c r="B52" s="467" t="s">
        <v>871</v>
      </c>
      <c r="C52" s="467">
        <v>0.3</v>
      </c>
      <c r="D52" s="468" t="s">
        <v>437</v>
      </c>
      <c r="E52" s="467">
        <v>4380</v>
      </c>
      <c r="F52" s="468"/>
      <c r="G52" s="467">
        <v>43800</v>
      </c>
      <c r="H52" s="467">
        <f t="shared" si="9"/>
        <v>4.38</v>
      </c>
      <c r="I52" s="128">
        <v>2.9000000000000001E-2</v>
      </c>
      <c r="J52" s="128">
        <f t="shared" si="10"/>
        <v>1.61E-2</v>
      </c>
      <c r="K52" s="128">
        <f t="shared" si="11"/>
        <v>3.7579999999999995E-2</v>
      </c>
      <c r="L52" s="128">
        <f t="shared" si="12"/>
        <v>6.658E-2</v>
      </c>
      <c r="M52" s="155">
        <f t="shared" si="13"/>
        <v>4380.0665799999997</v>
      </c>
      <c r="N52" s="469">
        <f t="shared" si="14"/>
        <v>22.047079999999998</v>
      </c>
      <c r="O52" s="467"/>
      <c r="P52" s="467">
        <f t="shared" si="15"/>
        <v>22</v>
      </c>
      <c r="Q52" s="468" t="s">
        <v>658</v>
      </c>
      <c r="R52" s="467">
        <f t="shared" si="16"/>
        <v>22</v>
      </c>
      <c r="S52" s="464">
        <f t="shared" si="17"/>
        <v>22000</v>
      </c>
    </row>
    <row r="53" spans="1:19" ht="21" thickBot="1" x14ac:dyDescent="0.35">
      <c r="A53" s="465">
        <v>48</v>
      </c>
      <c r="B53" s="467" t="s">
        <v>872</v>
      </c>
      <c r="C53" s="467">
        <v>1.03</v>
      </c>
      <c r="D53" s="468" t="s">
        <v>638</v>
      </c>
      <c r="E53" s="467">
        <v>9500</v>
      </c>
      <c r="F53" s="468"/>
      <c r="G53" s="467">
        <v>99600</v>
      </c>
      <c r="H53" s="467">
        <f t="shared" si="9"/>
        <v>9.5</v>
      </c>
      <c r="I53" s="128">
        <v>2.9000000000000001E-2</v>
      </c>
      <c r="J53" s="128">
        <f t="shared" si="10"/>
        <v>1.61E-2</v>
      </c>
      <c r="K53" s="128">
        <f t="shared" si="11"/>
        <v>3.7579999999999995E-2</v>
      </c>
      <c r="L53" s="128">
        <f t="shared" si="12"/>
        <v>6.658E-2</v>
      </c>
      <c r="M53" s="155">
        <f t="shared" si="13"/>
        <v>9500.0665800000006</v>
      </c>
      <c r="N53" s="469">
        <f t="shared" si="14"/>
        <v>47.647080000000003</v>
      </c>
      <c r="O53" s="467"/>
      <c r="P53" s="467">
        <f t="shared" si="15"/>
        <v>47.6</v>
      </c>
      <c r="Q53" s="468" t="s">
        <v>658</v>
      </c>
      <c r="R53" s="467">
        <f t="shared" si="16"/>
        <v>48</v>
      </c>
      <c r="S53" s="464">
        <f t="shared" si="17"/>
        <v>48000</v>
      </c>
    </row>
    <row r="54" spans="1:19" ht="21" thickBot="1" x14ac:dyDescent="0.35">
      <c r="A54" s="465">
        <v>49</v>
      </c>
      <c r="B54" s="467" t="s">
        <v>873</v>
      </c>
      <c r="C54" s="467">
        <v>8066</v>
      </c>
      <c r="D54" s="468" t="s">
        <v>437</v>
      </c>
      <c r="E54" s="467">
        <v>383.59</v>
      </c>
      <c r="F54" s="468"/>
      <c r="G54" s="467">
        <v>3835.9</v>
      </c>
      <c r="H54" s="467">
        <f t="shared" si="9"/>
        <v>0.38358999999999999</v>
      </c>
      <c r="I54" s="128">
        <v>2.9000000000000001E-2</v>
      </c>
      <c r="J54" s="128">
        <f t="shared" si="10"/>
        <v>1.61E-2</v>
      </c>
      <c r="K54" s="128">
        <f t="shared" si="11"/>
        <v>3.7579999999999995E-2</v>
      </c>
      <c r="L54" s="128">
        <f t="shared" si="12"/>
        <v>6.658E-2</v>
      </c>
      <c r="M54" s="155">
        <f t="shared" si="13"/>
        <v>383.65657999999996</v>
      </c>
      <c r="N54" s="469">
        <f t="shared" si="14"/>
        <v>2.0650300000000001</v>
      </c>
      <c r="O54" s="467"/>
      <c r="P54" s="467">
        <f t="shared" si="15"/>
        <v>2.1</v>
      </c>
      <c r="Q54" s="468" t="s">
        <v>658</v>
      </c>
      <c r="R54" s="467">
        <f t="shared" si="16"/>
        <v>2</v>
      </c>
      <c r="S54" s="464">
        <f t="shared" si="17"/>
        <v>2000</v>
      </c>
    </row>
    <row r="55" spans="1:19" ht="21" thickBot="1" x14ac:dyDescent="0.35">
      <c r="A55" s="465">
        <v>50</v>
      </c>
      <c r="B55" s="467" t="s">
        <v>874</v>
      </c>
      <c r="C55" s="467">
        <v>315</v>
      </c>
      <c r="D55" s="468" t="s">
        <v>437</v>
      </c>
      <c r="E55" s="467">
        <v>535.70000000000005</v>
      </c>
      <c r="F55" s="468"/>
      <c r="G55" s="467">
        <v>5357</v>
      </c>
      <c r="H55" s="467">
        <f t="shared" si="9"/>
        <v>0.53570000000000007</v>
      </c>
      <c r="I55" s="128">
        <v>2.9000000000000001E-2</v>
      </c>
      <c r="J55" s="128">
        <f t="shared" si="10"/>
        <v>1.61E-2</v>
      </c>
      <c r="K55" s="128">
        <f t="shared" si="11"/>
        <v>3.7579999999999995E-2</v>
      </c>
      <c r="L55" s="128">
        <f t="shared" si="12"/>
        <v>6.658E-2</v>
      </c>
      <c r="M55" s="155">
        <f t="shared" si="13"/>
        <v>535.76658000000009</v>
      </c>
      <c r="N55" s="469">
        <f t="shared" si="14"/>
        <v>2.8255800000000004</v>
      </c>
      <c r="O55" s="467"/>
      <c r="P55" s="467">
        <f t="shared" si="15"/>
        <v>2.8</v>
      </c>
      <c r="Q55" s="468" t="s">
        <v>658</v>
      </c>
      <c r="R55" s="467">
        <f t="shared" si="16"/>
        <v>3</v>
      </c>
      <c r="S55" s="464">
        <f t="shared" si="17"/>
        <v>3000</v>
      </c>
    </row>
    <row r="56" spans="1:19" ht="21" thickBot="1" x14ac:dyDescent="0.35">
      <c r="A56" s="465">
        <v>51</v>
      </c>
      <c r="B56" s="467" t="s">
        <v>875</v>
      </c>
      <c r="C56" s="467">
        <v>31.1</v>
      </c>
      <c r="D56" s="468" t="s">
        <v>437</v>
      </c>
      <c r="E56" s="467">
        <v>1550</v>
      </c>
      <c r="F56" s="468"/>
      <c r="G56" s="467">
        <v>15500</v>
      </c>
      <c r="H56" s="467">
        <f t="shared" si="9"/>
        <v>1.55</v>
      </c>
      <c r="I56" s="128">
        <v>2.9000000000000001E-2</v>
      </c>
      <c r="J56" s="128">
        <f t="shared" si="10"/>
        <v>1.61E-2</v>
      </c>
      <c r="K56" s="128">
        <f t="shared" si="11"/>
        <v>3.7579999999999995E-2</v>
      </c>
      <c r="L56" s="128">
        <f t="shared" si="12"/>
        <v>6.658E-2</v>
      </c>
      <c r="M56" s="155">
        <f t="shared" si="13"/>
        <v>1550.0665799999999</v>
      </c>
      <c r="N56" s="469">
        <f t="shared" si="14"/>
        <v>7.8970800000000008</v>
      </c>
      <c r="O56" s="467"/>
      <c r="P56" s="467">
        <f t="shared" si="15"/>
        <v>7.9</v>
      </c>
      <c r="Q56" s="468" t="s">
        <v>658</v>
      </c>
      <c r="R56" s="467">
        <f t="shared" si="16"/>
        <v>8</v>
      </c>
      <c r="S56" s="464">
        <f t="shared" si="17"/>
        <v>8000</v>
      </c>
    </row>
    <row r="57" spans="1:19" ht="21" thickBot="1" x14ac:dyDescent="0.35">
      <c r="A57" s="465">
        <v>52</v>
      </c>
      <c r="B57" s="467" t="s">
        <v>876</v>
      </c>
      <c r="C57" s="467">
        <v>23</v>
      </c>
      <c r="D57" s="468" t="s">
        <v>437</v>
      </c>
      <c r="E57" s="467">
        <v>761.13</v>
      </c>
      <c r="F57" s="468"/>
      <c r="G57" s="467">
        <v>10854.2</v>
      </c>
      <c r="H57" s="467">
        <f t="shared" si="9"/>
        <v>0.76112999999999997</v>
      </c>
      <c r="I57" s="128">
        <v>2.9000000000000001E-2</v>
      </c>
      <c r="J57" s="128">
        <f t="shared" si="10"/>
        <v>1.61E-2</v>
      </c>
      <c r="K57" s="128">
        <f t="shared" si="11"/>
        <v>3.7579999999999995E-2</v>
      </c>
      <c r="L57" s="128">
        <f t="shared" si="12"/>
        <v>6.658E-2</v>
      </c>
      <c r="M57" s="155">
        <f t="shared" si="13"/>
        <v>761.19658000000004</v>
      </c>
      <c r="N57" s="469">
        <f t="shared" si="14"/>
        <v>3.9527299999999999</v>
      </c>
      <c r="O57" s="467"/>
      <c r="P57" s="467">
        <f t="shared" si="15"/>
        <v>4</v>
      </c>
      <c r="Q57" s="468" t="s">
        <v>658</v>
      </c>
      <c r="R57" s="467">
        <f t="shared" si="16"/>
        <v>4</v>
      </c>
      <c r="S57" s="464">
        <f t="shared" si="17"/>
        <v>4000</v>
      </c>
    </row>
    <row r="58" spans="1:19" ht="21" thickBot="1" x14ac:dyDescent="0.35">
      <c r="A58" s="465">
        <v>53</v>
      </c>
      <c r="B58" s="467" t="s">
        <v>877</v>
      </c>
      <c r="C58" s="467">
        <v>59.3</v>
      </c>
      <c r="D58" s="468" t="s">
        <v>437</v>
      </c>
      <c r="E58" s="467">
        <v>1160.7</v>
      </c>
      <c r="F58" s="468"/>
      <c r="G58" s="467">
        <v>11607</v>
      </c>
      <c r="H58" s="467">
        <f t="shared" si="9"/>
        <v>1.1607000000000001</v>
      </c>
      <c r="I58" s="128">
        <v>2.9000000000000001E-2</v>
      </c>
      <c r="J58" s="128">
        <f t="shared" si="10"/>
        <v>1.61E-2</v>
      </c>
      <c r="K58" s="128">
        <f t="shared" si="11"/>
        <v>3.7579999999999995E-2</v>
      </c>
      <c r="L58" s="128">
        <f t="shared" si="12"/>
        <v>6.658E-2</v>
      </c>
      <c r="M58" s="155">
        <f t="shared" si="13"/>
        <v>1160.76658</v>
      </c>
      <c r="N58" s="469">
        <f t="shared" si="14"/>
        <v>5.9505800000000004</v>
      </c>
      <c r="O58" s="467"/>
      <c r="P58" s="467">
        <f t="shared" si="15"/>
        <v>6</v>
      </c>
      <c r="Q58" s="468" t="s">
        <v>658</v>
      </c>
      <c r="R58" s="467">
        <f t="shared" si="16"/>
        <v>6</v>
      </c>
      <c r="S58" s="464">
        <f t="shared" si="17"/>
        <v>6000</v>
      </c>
    </row>
    <row r="59" spans="1:19" ht="21" thickBot="1" x14ac:dyDescent="0.35">
      <c r="A59" s="465">
        <v>54</v>
      </c>
      <c r="B59" s="467" t="s">
        <v>878</v>
      </c>
      <c r="C59" s="467">
        <v>50</v>
      </c>
      <c r="D59" s="468" t="s">
        <v>437</v>
      </c>
      <c r="E59" s="467">
        <v>316.05</v>
      </c>
      <c r="F59" s="468"/>
      <c r="G59" s="467">
        <v>3160.5</v>
      </c>
      <c r="H59" s="467">
        <f t="shared" si="9"/>
        <v>0.31605</v>
      </c>
      <c r="I59" s="128">
        <v>2.9000000000000001E-2</v>
      </c>
      <c r="J59" s="128">
        <f t="shared" si="10"/>
        <v>1.61E-2</v>
      </c>
      <c r="K59" s="128">
        <f t="shared" si="11"/>
        <v>3.7579999999999995E-2</v>
      </c>
      <c r="L59" s="128">
        <f t="shared" si="12"/>
        <v>6.658E-2</v>
      </c>
      <c r="M59" s="155">
        <f t="shared" si="13"/>
        <v>316.11658</v>
      </c>
      <c r="N59" s="469">
        <f t="shared" si="14"/>
        <v>1.72733</v>
      </c>
      <c r="O59" s="467"/>
      <c r="P59" s="467">
        <f t="shared" si="15"/>
        <v>1.7</v>
      </c>
      <c r="Q59" s="468" t="s">
        <v>658</v>
      </c>
      <c r="R59" s="467">
        <f t="shared" si="16"/>
        <v>2</v>
      </c>
      <c r="S59" s="464">
        <f t="shared" si="17"/>
        <v>2000</v>
      </c>
    </row>
    <row r="60" spans="1:19" ht="21" thickBot="1" x14ac:dyDescent="0.35">
      <c r="A60" s="465">
        <v>55</v>
      </c>
      <c r="B60" s="467" t="s">
        <v>879</v>
      </c>
      <c r="C60" s="467">
        <v>500</v>
      </c>
      <c r="D60" s="468" t="s">
        <v>437</v>
      </c>
      <c r="E60" s="467">
        <v>485</v>
      </c>
      <c r="F60" s="468"/>
      <c r="G60" s="467">
        <v>4850</v>
      </c>
      <c r="H60" s="467">
        <f t="shared" si="9"/>
        <v>0.48499999999999999</v>
      </c>
      <c r="I60" s="128">
        <v>2.9000000000000001E-2</v>
      </c>
      <c r="J60" s="128">
        <f t="shared" si="10"/>
        <v>1.61E-2</v>
      </c>
      <c r="K60" s="128">
        <f t="shared" si="11"/>
        <v>3.7579999999999995E-2</v>
      </c>
      <c r="L60" s="128">
        <f t="shared" si="12"/>
        <v>6.658E-2</v>
      </c>
      <c r="M60" s="155">
        <f t="shared" si="13"/>
        <v>485.06657999999999</v>
      </c>
      <c r="N60" s="469">
        <f t="shared" si="14"/>
        <v>2.5720800000000001</v>
      </c>
      <c r="O60" s="467"/>
      <c r="P60" s="467">
        <f t="shared" si="15"/>
        <v>2.6</v>
      </c>
      <c r="Q60" s="468" t="s">
        <v>658</v>
      </c>
      <c r="R60" s="467">
        <f t="shared" si="16"/>
        <v>3</v>
      </c>
      <c r="S60" s="464">
        <f t="shared" si="17"/>
        <v>3000</v>
      </c>
    </row>
    <row r="61" spans="1:19" ht="21" thickBot="1" x14ac:dyDescent="0.35">
      <c r="A61" s="465">
        <v>56</v>
      </c>
      <c r="B61" s="467" t="s">
        <v>880</v>
      </c>
      <c r="C61" s="467"/>
      <c r="D61" s="468" t="s">
        <v>437</v>
      </c>
      <c r="E61" s="467">
        <v>4380</v>
      </c>
      <c r="F61" s="468"/>
      <c r="G61" s="467">
        <v>43800</v>
      </c>
      <c r="H61" s="467">
        <f t="shared" si="9"/>
        <v>4.38</v>
      </c>
      <c r="I61" s="128">
        <v>2.9000000000000001E-2</v>
      </c>
      <c r="J61" s="128">
        <f t="shared" si="10"/>
        <v>1.61E-2</v>
      </c>
      <c r="K61" s="128">
        <f t="shared" si="11"/>
        <v>3.7579999999999995E-2</v>
      </c>
      <c r="L61" s="128">
        <f t="shared" si="12"/>
        <v>6.658E-2</v>
      </c>
      <c r="M61" s="155">
        <f t="shared" si="13"/>
        <v>4380.0665799999997</v>
      </c>
      <c r="N61" s="469">
        <f t="shared" si="14"/>
        <v>22.047079999999998</v>
      </c>
      <c r="O61" s="467"/>
      <c r="P61" s="467">
        <f t="shared" si="15"/>
        <v>22</v>
      </c>
      <c r="Q61" s="468" t="s">
        <v>658</v>
      </c>
      <c r="R61" s="467">
        <f t="shared" si="16"/>
        <v>22</v>
      </c>
      <c r="S61" s="464">
        <f t="shared" si="17"/>
        <v>22000</v>
      </c>
    </row>
    <row r="62" spans="1:19" ht="21" thickBot="1" x14ac:dyDescent="0.35">
      <c r="A62" s="465">
        <v>57</v>
      </c>
      <c r="B62" s="467" t="s">
        <v>881</v>
      </c>
      <c r="C62" s="467">
        <v>170</v>
      </c>
      <c r="D62" s="468" t="s">
        <v>638</v>
      </c>
      <c r="E62" s="467">
        <v>185</v>
      </c>
      <c r="F62" s="468"/>
      <c r="G62" s="467">
        <v>1850</v>
      </c>
      <c r="H62" s="467">
        <f t="shared" si="9"/>
        <v>0.185</v>
      </c>
      <c r="I62" s="128">
        <v>2.9000000000000001E-2</v>
      </c>
      <c r="J62" s="128">
        <f t="shared" si="10"/>
        <v>1.61E-2</v>
      </c>
      <c r="K62" s="128">
        <f t="shared" si="11"/>
        <v>3.7579999999999995E-2</v>
      </c>
      <c r="L62" s="128">
        <f t="shared" si="12"/>
        <v>6.658E-2</v>
      </c>
      <c r="M62" s="155">
        <f t="shared" si="13"/>
        <v>185.06657999999999</v>
      </c>
      <c r="N62" s="469">
        <f t="shared" si="14"/>
        <v>1.0720800000000001</v>
      </c>
      <c r="O62" s="467"/>
      <c r="P62" s="467">
        <f t="shared" si="15"/>
        <v>1.1000000000000001</v>
      </c>
      <c r="Q62" s="468" t="s">
        <v>658</v>
      </c>
      <c r="R62" s="467">
        <f t="shared" si="16"/>
        <v>1</v>
      </c>
      <c r="S62" s="464">
        <f t="shared" si="17"/>
        <v>1000</v>
      </c>
    </row>
    <row r="63" spans="1:19" s="402" customFormat="1" ht="21" thickBot="1" x14ac:dyDescent="0.35">
      <c r="A63" s="465">
        <v>58</v>
      </c>
      <c r="B63" s="467" t="s">
        <v>284</v>
      </c>
      <c r="C63" s="467">
        <v>1500</v>
      </c>
      <c r="D63" s="468" t="s">
        <v>437</v>
      </c>
      <c r="E63" s="467">
        <v>490</v>
      </c>
      <c r="F63" s="468"/>
      <c r="G63" s="467">
        <v>4900</v>
      </c>
      <c r="H63" s="467">
        <f t="shared" si="9"/>
        <v>0.49</v>
      </c>
      <c r="I63" s="128">
        <v>2.9000000000000001E-2</v>
      </c>
      <c r="J63" s="128">
        <f t="shared" si="10"/>
        <v>1.61E-2</v>
      </c>
      <c r="K63" s="128">
        <f t="shared" si="11"/>
        <v>3.7579999999999995E-2</v>
      </c>
      <c r="L63" s="128">
        <f t="shared" si="12"/>
        <v>6.658E-2</v>
      </c>
      <c r="M63" s="155">
        <f t="shared" si="13"/>
        <v>490.06657999999999</v>
      </c>
      <c r="N63" s="469">
        <f t="shared" si="14"/>
        <v>2.5970800000000001</v>
      </c>
      <c r="O63" s="467"/>
      <c r="P63" s="467">
        <f t="shared" si="15"/>
        <v>2.6</v>
      </c>
      <c r="Q63" s="468" t="s">
        <v>658</v>
      </c>
      <c r="R63" s="467">
        <f t="shared" si="16"/>
        <v>3</v>
      </c>
      <c r="S63" s="464">
        <f t="shared" si="17"/>
        <v>3000</v>
      </c>
    </row>
    <row r="64" spans="1:19" ht="21" thickBot="1" x14ac:dyDescent="0.35">
      <c r="A64" s="465">
        <v>59</v>
      </c>
      <c r="B64" s="467" t="s">
        <v>882</v>
      </c>
      <c r="C64" s="467">
        <v>0.3</v>
      </c>
      <c r="D64" s="468" t="s">
        <v>638</v>
      </c>
      <c r="E64" s="467">
        <v>11970</v>
      </c>
      <c r="F64" s="468"/>
      <c r="G64" s="467">
        <v>43800</v>
      </c>
      <c r="H64" s="467">
        <f t="shared" si="9"/>
        <v>11.97</v>
      </c>
      <c r="I64" s="128">
        <v>2.9000000000000001E-2</v>
      </c>
      <c r="J64" s="128">
        <f t="shared" si="10"/>
        <v>1.61E-2</v>
      </c>
      <c r="K64" s="128">
        <f t="shared" si="11"/>
        <v>3.7579999999999995E-2</v>
      </c>
      <c r="L64" s="128">
        <f t="shared" si="12"/>
        <v>6.658E-2</v>
      </c>
      <c r="M64" s="155">
        <f t="shared" si="13"/>
        <v>11970.066580000001</v>
      </c>
      <c r="N64" s="469">
        <f t="shared" si="14"/>
        <v>59.997080000000004</v>
      </c>
      <c r="O64" s="467"/>
      <c r="P64" s="467">
        <f t="shared" si="15"/>
        <v>60</v>
      </c>
      <c r="Q64" s="468" t="s">
        <v>658</v>
      </c>
      <c r="R64" s="467">
        <f t="shared" si="16"/>
        <v>60</v>
      </c>
      <c r="S64" s="464">
        <f t="shared" si="17"/>
        <v>60000</v>
      </c>
    </row>
    <row r="65" spans="1:23" ht="21" thickBot="1" x14ac:dyDescent="0.35">
      <c r="A65" s="465">
        <v>60</v>
      </c>
      <c r="B65" s="466" t="s">
        <v>883</v>
      </c>
      <c r="C65" s="467">
        <v>15</v>
      </c>
      <c r="D65" s="468" t="s">
        <v>437</v>
      </c>
      <c r="E65" s="467">
        <v>1750</v>
      </c>
      <c r="F65" s="468"/>
      <c r="G65" s="467">
        <v>18000</v>
      </c>
      <c r="H65" s="467">
        <f t="shared" si="9"/>
        <v>1.75</v>
      </c>
      <c r="I65" s="128">
        <v>2.9000000000000001E-2</v>
      </c>
      <c r="J65" s="128">
        <f t="shared" si="10"/>
        <v>1.61E-2</v>
      </c>
      <c r="K65" s="128">
        <f t="shared" si="11"/>
        <v>3.7579999999999995E-2</v>
      </c>
      <c r="L65" s="128">
        <f t="shared" si="12"/>
        <v>6.658E-2</v>
      </c>
      <c r="M65" s="155">
        <f t="shared" si="13"/>
        <v>1750.0665799999999</v>
      </c>
      <c r="N65" s="469">
        <f t="shared" si="14"/>
        <v>8.8970800000000008</v>
      </c>
      <c r="O65" s="467"/>
      <c r="P65" s="467">
        <f t="shared" si="15"/>
        <v>8.9</v>
      </c>
      <c r="Q65" s="468" t="s">
        <v>658</v>
      </c>
      <c r="R65" s="467">
        <f t="shared" si="16"/>
        <v>9</v>
      </c>
      <c r="S65" s="464">
        <f t="shared" si="17"/>
        <v>9000</v>
      </c>
    </row>
    <row r="66" spans="1:23" ht="21" thickBot="1" x14ac:dyDescent="0.35">
      <c r="A66" s="465">
        <v>61</v>
      </c>
      <c r="B66" s="466" t="s">
        <v>884</v>
      </c>
      <c r="C66" s="467">
        <v>55</v>
      </c>
      <c r="D66" s="468" t="s">
        <v>437</v>
      </c>
      <c r="E66" s="467">
        <v>1200</v>
      </c>
      <c r="F66" s="468"/>
      <c r="G66" s="467">
        <v>18000</v>
      </c>
      <c r="H66" s="467">
        <f t="shared" si="9"/>
        <v>1.2</v>
      </c>
      <c r="I66" s="128">
        <v>2.9000000000000001E-2</v>
      </c>
      <c r="J66" s="128">
        <f t="shared" si="10"/>
        <v>1.61E-2</v>
      </c>
      <c r="K66" s="128">
        <f t="shared" si="11"/>
        <v>3.7579999999999995E-2</v>
      </c>
      <c r="L66" s="128">
        <f t="shared" si="12"/>
        <v>6.658E-2</v>
      </c>
      <c r="M66" s="155">
        <f t="shared" si="13"/>
        <v>1200.0665799999999</v>
      </c>
      <c r="N66" s="469">
        <f t="shared" si="14"/>
        <v>6.1470799999999999</v>
      </c>
      <c r="O66" s="467"/>
      <c r="P66" s="467">
        <f t="shared" si="15"/>
        <v>6.1</v>
      </c>
      <c r="Q66" s="468" t="s">
        <v>658</v>
      </c>
      <c r="R66" s="467">
        <f t="shared" si="16"/>
        <v>6</v>
      </c>
      <c r="S66" s="464">
        <f t="shared" si="17"/>
        <v>6000</v>
      </c>
    </row>
    <row r="67" spans="1:23" s="402" customFormat="1" ht="21" thickBot="1" x14ac:dyDescent="0.35">
      <c r="A67" s="470">
        <v>62</v>
      </c>
      <c r="B67" s="471" t="s">
        <v>885</v>
      </c>
      <c r="C67" s="472">
        <v>25</v>
      </c>
      <c r="D67" s="473" t="s">
        <v>437</v>
      </c>
      <c r="E67" s="472">
        <v>1300</v>
      </c>
      <c r="F67" s="473"/>
      <c r="G67" s="472">
        <v>18000</v>
      </c>
      <c r="H67" s="472">
        <f t="shared" si="9"/>
        <v>1.3</v>
      </c>
      <c r="I67" s="152">
        <v>2.9000000000000001E-2</v>
      </c>
      <c r="J67" s="152">
        <f t="shared" si="10"/>
        <v>1.61E-2</v>
      </c>
      <c r="K67" s="152">
        <f t="shared" si="11"/>
        <v>3.7579999999999995E-2</v>
      </c>
      <c r="L67" s="152">
        <f t="shared" si="12"/>
        <v>6.658E-2</v>
      </c>
      <c r="M67" s="474">
        <f t="shared" si="13"/>
        <v>1300.0665799999999</v>
      </c>
      <c r="N67" s="475">
        <f t="shared" si="14"/>
        <v>6.6470800000000008</v>
      </c>
      <c r="O67" s="472"/>
      <c r="P67" s="472">
        <f t="shared" si="15"/>
        <v>6.6</v>
      </c>
      <c r="Q67" s="473" t="s">
        <v>658</v>
      </c>
      <c r="R67" s="472">
        <f t="shared" si="16"/>
        <v>7</v>
      </c>
      <c r="S67" s="464">
        <f t="shared" si="17"/>
        <v>7000</v>
      </c>
    </row>
    <row r="68" spans="1:23" ht="18" x14ac:dyDescent="0.25">
      <c r="D68" s="476"/>
      <c r="E68" s="117"/>
    </row>
    <row r="69" spans="1:23" ht="18" x14ac:dyDescent="0.25">
      <c r="D69" s="476"/>
      <c r="E69" s="117"/>
    </row>
    <row r="70" spans="1:23" ht="18" x14ac:dyDescent="0.25">
      <c r="D70" s="476"/>
      <c r="E70" s="117"/>
    </row>
    <row r="71" spans="1:23" s="156" customFormat="1" ht="18.75" thickBot="1" x14ac:dyDescent="0.3">
      <c r="B71" s="156" t="s">
        <v>639</v>
      </c>
      <c r="D71" s="157"/>
      <c r="E71" s="117"/>
    </row>
    <row r="72" spans="1:23" s="156" customFormat="1" ht="18.75" customHeight="1" thickBot="1" x14ac:dyDescent="0.3">
      <c r="D72" s="157"/>
      <c r="E72" s="117"/>
      <c r="R72" s="158"/>
      <c r="S72" s="160"/>
      <c r="T72" s="2282" t="s">
        <v>890</v>
      </c>
      <c r="U72" s="2283"/>
      <c r="V72" s="2283"/>
      <c r="W72" s="2284"/>
    </row>
    <row r="73" spans="1:23" s="156" customFormat="1" ht="32.25" thickBot="1" x14ac:dyDescent="0.3">
      <c r="D73" s="157"/>
      <c r="E73" s="117"/>
      <c r="R73" s="159" t="s">
        <v>889</v>
      </c>
      <c r="S73" s="161" t="s">
        <v>226</v>
      </c>
      <c r="T73" s="161" t="s">
        <v>891</v>
      </c>
      <c r="U73" s="161" t="s">
        <v>892</v>
      </c>
      <c r="V73" s="161" t="s">
        <v>893</v>
      </c>
      <c r="W73" s="161" t="s">
        <v>894</v>
      </c>
    </row>
    <row r="74" spans="1:23" s="156" customFormat="1" ht="32.25" thickBot="1" x14ac:dyDescent="0.3">
      <c r="D74" s="157"/>
      <c r="E74" s="117"/>
      <c r="R74" s="162" t="s">
        <v>895</v>
      </c>
      <c r="S74" s="161" t="s">
        <v>896</v>
      </c>
      <c r="T74" s="163">
        <v>70</v>
      </c>
      <c r="U74" s="163">
        <v>51</v>
      </c>
      <c r="V74" s="163">
        <v>42</v>
      </c>
      <c r="W74" s="163">
        <v>30</v>
      </c>
    </row>
    <row r="75" spans="1:23" s="156" customFormat="1" ht="32.25" thickBot="1" x14ac:dyDescent="0.3">
      <c r="D75" s="157"/>
      <c r="E75" s="117"/>
      <c r="R75" s="162" t="s">
        <v>897</v>
      </c>
      <c r="S75" s="161" t="s">
        <v>898</v>
      </c>
      <c r="T75" s="163">
        <v>80</v>
      </c>
      <c r="U75" s="163">
        <v>68</v>
      </c>
      <c r="V75" s="163">
        <v>56</v>
      </c>
      <c r="W75" s="163">
        <v>40</v>
      </c>
    </row>
    <row r="76" spans="1:23" s="156" customFormat="1" ht="48" thickBot="1" x14ac:dyDescent="0.3">
      <c r="D76" s="157"/>
      <c r="E76" s="117"/>
      <c r="R76" s="162" t="s">
        <v>25</v>
      </c>
      <c r="S76" s="161" t="s">
        <v>310</v>
      </c>
      <c r="T76" s="163">
        <v>190</v>
      </c>
      <c r="U76" s="163">
        <v>153</v>
      </c>
      <c r="V76" s="163">
        <v>126</v>
      </c>
      <c r="W76" s="163">
        <v>90</v>
      </c>
    </row>
    <row r="77" spans="1:23" s="156" customFormat="1" ht="48" thickBot="1" x14ac:dyDescent="0.3">
      <c r="R77" s="162" t="s">
        <v>21</v>
      </c>
      <c r="S77" s="161" t="s">
        <v>310</v>
      </c>
      <c r="T77" s="163">
        <v>200</v>
      </c>
      <c r="U77" s="163">
        <v>119</v>
      </c>
      <c r="V77" s="163">
        <v>98</v>
      </c>
      <c r="W77" s="163">
        <v>70</v>
      </c>
    </row>
    <row r="78" spans="1:23" s="156" customFormat="1" ht="32.25" thickBot="1" x14ac:dyDescent="0.3">
      <c r="R78" s="162" t="s">
        <v>899</v>
      </c>
      <c r="S78" s="161" t="s">
        <v>900</v>
      </c>
      <c r="T78" s="163">
        <v>1.5</v>
      </c>
      <c r="U78" s="163">
        <v>1.4</v>
      </c>
      <c r="V78" s="163">
        <v>1.3</v>
      </c>
      <c r="W78" s="163">
        <v>1.2</v>
      </c>
    </row>
    <row r="79" spans="1:23" s="156" customFormat="1" ht="32.25" thickBot="1" x14ac:dyDescent="0.3">
      <c r="R79" s="162" t="s">
        <v>901</v>
      </c>
      <c r="S79" s="161" t="s">
        <v>310</v>
      </c>
      <c r="T79" s="163">
        <v>400</v>
      </c>
      <c r="U79" s="163"/>
      <c r="V79" s="163"/>
      <c r="W79" s="163">
        <v>300</v>
      </c>
    </row>
    <row r="80" spans="1:23" s="156" customFormat="1" ht="32.25" thickBot="1" x14ac:dyDescent="0.3">
      <c r="R80" s="162" t="s">
        <v>902</v>
      </c>
      <c r="S80" s="161" t="s">
        <v>310</v>
      </c>
      <c r="T80" s="163">
        <v>2000</v>
      </c>
      <c r="U80" s="163"/>
      <c r="V80" s="163"/>
      <c r="W80" s="163"/>
    </row>
    <row r="81" spans="2:2" s="156" customFormat="1" ht="18" x14ac:dyDescent="0.25">
      <c r="B81" s="156" t="s">
        <v>904</v>
      </c>
    </row>
    <row r="82" spans="2:2" s="156" customFormat="1" ht="18" x14ac:dyDescent="0.25"/>
    <row r="83" spans="2:2" s="156" customFormat="1" ht="18" x14ac:dyDescent="0.25"/>
    <row r="84" spans="2:2" s="156" customFormat="1" ht="18" x14ac:dyDescent="0.25"/>
    <row r="85" spans="2:2" s="156" customFormat="1" ht="18" x14ac:dyDescent="0.25"/>
    <row r="86" spans="2:2" s="156" customFormat="1" ht="18" x14ac:dyDescent="0.25"/>
    <row r="87" spans="2:2" s="156" customFormat="1" ht="18" x14ac:dyDescent="0.25"/>
    <row r="88" spans="2:2" s="156" customFormat="1" ht="18" x14ac:dyDescent="0.25"/>
    <row r="89" spans="2:2" s="156" customFormat="1" ht="18" x14ac:dyDescent="0.25"/>
    <row r="90" spans="2:2" s="156" customFormat="1" ht="18" x14ac:dyDescent="0.25"/>
    <row r="91" spans="2:2" s="156" customFormat="1" ht="18" x14ac:dyDescent="0.25"/>
    <row r="92" spans="2:2" s="156" customFormat="1" ht="18" x14ac:dyDescent="0.25"/>
    <row r="93" spans="2:2" s="156" customFormat="1" ht="18" x14ac:dyDescent="0.25"/>
    <row r="94" spans="2:2" s="156" customFormat="1" ht="18" x14ac:dyDescent="0.25"/>
    <row r="95" spans="2:2" s="156" customFormat="1" ht="18" x14ac:dyDescent="0.25"/>
    <row r="96" spans="2:2" s="156" customFormat="1" ht="18" x14ac:dyDescent="0.25"/>
    <row r="97" s="156" customFormat="1" ht="18" x14ac:dyDescent="0.25"/>
    <row r="98" s="156" customFormat="1" ht="18" x14ac:dyDescent="0.25"/>
    <row r="99" s="156" customFormat="1" ht="18" x14ac:dyDescent="0.25"/>
    <row r="100" s="156" customFormat="1" ht="18" x14ac:dyDescent="0.25"/>
    <row r="101" s="156" customFormat="1" ht="18" x14ac:dyDescent="0.25"/>
    <row r="102" s="156" customFormat="1" ht="18" x14ac:dyDescent="0.25"/>
    <row r="103" s="156" customFormat="1" ht="18" x14ac:dyDescent="0.25"/>
    <row r="104" s="156" customFormat="1" ht="18" x14ac:dyDescent="0.25"/>
    <row r="105" s="156" customFormat="1" ht="18" x14ac:dyDescent="0.25"/>
    <row r="106" s="156" customFormat="1" ht="18" x14ac:dyDescent="0.25"/>
    <row r="107" s="156" customFormat="1" ht="18" x14ac:dyDescent="0.25"/>
    <row r="108" s="156" customFormat="1" ht="18" x14ac:dyDescent="0.25"/>
    <row r="109" s="156" customFormat="1" ht="18" x14ac:dyDescent="0.25"/>
    <row r="110" s="156" customFormat="1" ht="18" x14ac:dyDescent="0.25"/>
    <row r="111" s="156" customFormat="1" ht="18" x14ac:dyDescent="0.25"/>
    <row r="112" s="156" customFormat="1" ht="18" x14ac:dyDescent="0.25"/>
    <row r="113" s="156" customFormat="1" ht="18" x14ac:dyDescent="0.25"/>
    <row r="114" s="156" customFormat="1" ht="18" x14ac:dyDescent="0.25"/>
    <row r="115" s="156" customFormat="1" ht="18" x14ac:dyDescent="0.25"/>
    <row r="116" s="156" customFormat="1" ht="18" x14ac:dyDescent="0.25"/>
    <row r="117" s="156" customFormat="1" ht="18" x14ac:dyDescent="0.25"/>
    <row r="118" s="156" customFormat="1" ht="18" x14ac:dyDescent="0.25"/>
    <row r="119" s="156" customFormat="1" ht="18" x14ac:dyDescent="0.25"/>
    <row r="120" s="156" customFormat="1" ht="18" x14ac:dyDescent="0.25"/>
    <row r="121" s="156" customFormat="1" ht="18" x14ac:dyDescent="0.25"/>
    <row r="122" s="156" customFormat="1" ht="18" x14ac:dyDescent="0.25"/>
    <row r="123" s="156" customFormat="1" ht="18" x14ac:dyDescent="0.25"/>
    <row r="124" s="156" customFormat="1" ht="18" x14ac:dyDescent="0.25"/>
    <row r="125" s="156" customFormat="1" ht="18" x14ac:dyDescent="0.25"/>
    <row r="126" s="156" customFormat="1" ht="18" x14ac:dyDescent="0.25"/>
    <row r="127" s="156" customFormat="1" ht="18" x14ac:dyDescent="0.25"/>
    <row r="128" s="156" customFormat="1" ht="18" x14ac:dyDescent="0.25"/>
    <row r="129" s="156" customFormat="1" ht="18" x14ac:dyDescent="0.25"/>
    <row r="130" s="156" customFormat="1" ht="18" x14ac:dyDescent="0.25"/>
    <row r="131" s="156" customFormat="1" ht="18" x14ac:dyDescent="0.25"/>
    <row r="132" s="156" customFormat="1" ht="18" x14ac:dyDescent="0.25"/>
    <row r="133" s="156" customFormat="1" ht="18" x14ac:dyDescent="0.25"/>
    <row r="134" s="156" customFormat="1" ht="18" x14ac:dyDescent="0.25"/>
    <row r="135" s="156" customFormat="1" ht="18" x14ac:dyDescent="0.25"/>
    <row r="136" s="156" customFormat="1" ht="18" x14ac:dyDescent="0.25"/>
  </sheetData>
  <mergeCells count="7">
    <mergeCell ref="D2:S2"/>
    <mergeCell ref="T72:W72"/>
    <mergeCell ref="A1:N1"/>
    <mergeCell ref="A3:N3"/>
    <mergeCell ref="J4:K4"/>
    <mergeCell ref="M4:M5"/>
    <mergeCell ref="P4:S4"/>
  </mergeCells>
  <phoneticPr fontId="21" type="noConversion"/>
  <pageMargins left="0.75" right="0.75" top="1" bottom="1" header="0" footer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S241"/>
  <sheetViews>
    <sheetView showGridLines="0" defaultGridColor="0" colorId="22" zoomScale="140" zoomScaleNormal="140" workbookViewId="0">
      <pane ySplit="1" topLeftCell="A2" activePane="bottomLeft" state="frozen"/>
      <selection pane="bottomLeft" activeCell="C15" sqref="C15"/>
    </sheetView>
  </sheetViews>
  <sheetFormatPr baseColWidth="10" defaultColWidth="11.42578125" defaultRowHeight="12.75" x14ac:dyDescent="0.2"/>
  <cols>
    <col min="1" max="1" width="30.5703125" style="402" customWidth="1"/>
    <col min="2" max="2" width="5" style="402" customWidth="1"/>
    <col min="3" max="3" width="10.7109375" style="402" customWidth="1"/>
    <col min="4" max="4" width="9.7109375" style="402" customWidth="1"/>
    <col min="5" max="5" width="10.28515625" style="402" customWidth="1"/>
    <col min="6" max="6" width="11.42578125" style="790"/>
    <col min="7" max="7" width="11.42578125" style="402"/>
    <col min="8" max="8" width="37.7109375" style="795" customWidth="1"/>
    <col min="9" max="17" width="11.42578125" style="713"/>
    <col min="18" max="19" width="11.42578125" style="790"/>
    <col min="20" max="16384" width="11.42578125" style="402"/>
  </cols>
  <sheetData>
    <row r="1" spans="1:19" s="519" customFormat="1" ht="15.75" thickBot="1" x14ac:dyDescent="0.3">
      <c r="A1" s="521">
        <v>1</v>
      </c>
      <c r="B1" s="521">
        <v>2</v>
      </c>
      <c r="C1" s="521">
        <v>3</v>
      </c>
      <c r="D1" s="521">
        <v>4</v>
      </c>
      <c r="E1" s="521">
        <v>5</v>
      </c>
      <c r="F1" s="796">
        <v>6</v>
      </c>
      <c r="G1" s="521">
        <v>7</v>
      </c>
      <c r="H1" s="791"/>
      <c r="I1" s="685"/>
      <c r="J1" s="685"/>
      <c r="K1" s="685"/>
      <c r="L1" s="686"/>
      <c r="M1" s="686"/>
      <c r="N1" s="686"/>
      <c r="O1" s="686"/>
      <c r="P1" s="686"/>
      <c r="Q1" s="686"/>
      <c r="R1" s="778"/>
      <c r="S1" s="778"/>
    </row>
    <row r="2" spans="1:19" s="519" customFormat="1" ht="15" x14ac:dyDescent="0.25">
      <c r="A2" s="2308" t="s">
        <v>229</v>
      </c>
      <c r="B2" s="2309"/>
      <c r="C2" s="2309"/>
      <c r="D2" s="2309"/>
      <c r="E2" s="2309"/>
      <c r="F2" s="2309"/>
      <c r="G2" s="2310"/>
      <c r="H2" s="791" t="s">
        <v>321</v>
      </c>
      <c r="I2" s="687"/>
      <c r="J2" s="687"/>
      <c r="K2" s="687"/>
      <c r="L2" s="686"/>
      <c r="M2" s="686"/>
      <c r="N2" s="686"/>
      <c r="O2" s="686"/>
      <c r="P2" s="686"/>
      <c r="Q2" s="686"/>
      <c r="R2" s="778"/>
      <c r="S2" s="778"/>
    </row>
    <row r="3" spans="1:19" s="519" customFormat="1" ht="17.25" customHeight="1" x14ac:dyDescent="0.25">
      <c r="A3" s="2311" t="s">
        <v>925</v>
      </c>
      <c r="B3" s="2312"/>
      <c r="C3" s="2312"/>
      <c r="D3" s="2312"/>
      <c r="E3" s="2312"/>
      <c r="F3" s="2312"/>
      <c r="G3" s="2313"/>
      <c r="H3" s="791" t="s">
        <v>321</v>
      </c>
      <c r="I3" s="687"/>
      <c r="J3" s="687"/>
      <c r="K3" s="687"/>
      <c r="L3" s="686"/>
      <c r="M3" s="686"/>
      <c r="N3" s="686"/>
      <c r="O3" s="686"/>
      <c r="P3" s="686"/>
      <c r="Q3" s="686"/>
      <c r="R3" s="778"/>
      <c r="S3" s="778"/>
    </row>
    <row r="4" spans="1:19" s="519" customFormat="1" ht="15" x14ac:dyDescent="0.25">
      <c r="A4" s="2314" t="s">
        <v>22</v>
      </c>
      <c r="B4" s="2315"/>
      <c r="C4" s="2315"/>
      <c r="D4" s="520"/>
      <c r="E4" s="2316"/>
      <c r="F4" s="2316"/>
      <c r="G4" s="2317"/>
      <c r="H4" s="791" t="s">
        <v>321</v>
      </c>
      <c r="I4" s="687"/>
      <c r="J4" s="688"/>
      <c r="K4" s="687"/>
      <c r="L4" s="686"/>
      <c r="M4" s="686"/>
      <c r="N4" s="686"/>
      <c r="O4" s="686"/>
      <c r="P4" s="686"/>
      <c r="Q4" s="686"/>
      <c r="R4" s="778"/>
      <c r="S4" s="778"/>
    </row>
    <row r="5" spans="1:19" s="519" customFormat="1" ht="15.75" thickBot="1" x14ac:dyDescent="0.3">
      <c r="A5" s="2318"/>
      <c r="B5" s="2319"/>
      <c r="C5" s="2319"/>
      <c r="D5" s="2319"/>
      <c r="E5" s="2319"/>
      <c r="F5" s="2319"/>
      <c r="G5" s="2320"/>
      <c r="H5" s="791" t="s">
        <v>321</v>
      </c>
      <c r="I5" s="687"/>
      <c r="J5" s="687"/>
      <c r="K5" s="687"/>
      <c r="L5" s="686"/>
      <c r="M5" s="686"/>
      <c r="N5" s="686"/>
      <c r="O5" s="686"/>
      <c r="P5" s="686"/>
      <c r="Q5" s="686"/>
      <c r="R5" s="778"/>
      <c r="S5" s="778"/>
    </row>
    <row r="6" spans="1:19" s="519" customFormat="1" ht="17.25" customHeight="1" thickBot="1" x14ac:dyDescent="0.3">
      <c r="A6" s="2321" t="s">
        <v>926</v>
      </c>
      <c r="B6" s="2321" t="s">
        <v>226</v>
      </c>
      <c r="C6" s="2324" t="s">
        <v>927</v>
      </c>
      <c r="D6" s="2303" t="s">
        <v>227</v>
      </c>
      <c r="E6" s="2327"/>
      <c r="F6" s="2303" t="s">
        <v>928</v>
      </c>
      <c r="G6" s="2304"/>
      <c r="H6" s="791" t="s">
        <v>321</v>
      </c>
      <c r="I6" s="2296">
        <f>C10/21.74</f>
        <v>4.1398344066237351</v>
      </c>
      <c r="J6" s="2296"/>
      <c r="K6" s="2296"/>
      <c r="L6" s="686"/>
      <c r="M6" s="686"/>
      <c r="N6" s="686"/>
      <c r="O6" s="686"/>
      <c r="P6" s="686"/>
      <c r="Q6" s="686"/>
      <c r="R6" s="778"/>
      <c r="S6" s="778"/>
    </row>
    <row r="7" spans="1:19" s="519" customFormat="1" ht="19.5" customHeight="1" x14ac:dyDescent="0.25">
      <c r="A7" s="2322"/>
      <c r="B7" s="2322"/>
      <c r="C7" s="2325"/>
      <c r="D7" s="2297" t="s">
        <v>219</v>
      </c>
      <c r="E7" s="2299" t="s">
        <v>929</v>
      </c>
      <c r="F7" s="2301" t="s">
        <v>219</v>
      </c>
      <c r="G7" s="2299" t="s">
        <v>929</v>
      </c>
      <c r="H7" s="791" t="s">
        <v>321</v>
      </c>
      <c r="I7" s="687"/>
      <c r="J7" s="687"/>
      <c r="K7" s="687"/>
      <c r="L7" s="686"/>
      <c r="M7" s="686"/>
      <c r="N7" s="686"/>
      <c r="O7" s="686"/>
      <c r="P7" s="686"/>
      <c r="Q7" s="686"/>
      <c r="R7" s="778"/>
      <c r="S7" s="778"/>
    </row>
    <row r="8" spans="1:19" s="519" customFormat="1" ht="15.75" thickBot="1" x14ac:dyDescent="0.3">
      <c r="A8" s="2323"/>
      <c r="B8" s="2323"/>
      <c r="C8" s="2326"/>
      <c r="D8" s="2298"/>
      <c r="E8" s="2300"/>
      <c r="F8" s="2302"/>
      <c r="G8" s="2300"/>
      <c r="H8" s="791" t="s">
        <v>321</v>
      </c>
      <c r="I8" s="687"/>
      <c r="J8" s="687"/>
      <c r="K8" s="687"/>
      <c r="L8" s="686"/>
      <c r="M8" s="686"/>
      <c r="N8" s="686"/>
      <c r="O8" s="686"/>
      <c r="P8" s="686"/>
      <c r="Q8" s="686"/>
      <c r="R8" s="778"/>
      <c r="S8" s="778"/>
    </row>
    <row r="9" spans="1:19" s="519" customFormat="1" ht="15.75" thickBot="1" x14ac:dyDescent="0.3">
      <c r="A9" s="521">
        <v>1</v>
      </c>
      <c r="B9" s="521">
        <v>2</v>
      </c>
      <c r="C9" s="521">
        <v>3</v>
      </c>
      <c r="D9" s="521">
        <v>4</v>
      </c>
      <c r="E9" s="521">
        <v>5</v>
      </c>
      <c r="F9" s="796">
        <v>6</v>
      </c>
      <c r="G9" s="521">
        <v>7</v>
      </c>
      <c r="H9" s="791" t="s">
        <v>321</v>
      </c>
      <c r="I9" s="685"/>
      <c r="J9" s="685"/>
      <c r="K9" s="685"/>
      <c r="L9" s="686"/>
      <c r="M9" s="686"/>
      <c r="N9" s="686"/>
      <c r="O9" s="686"/>
      <c r="P9" s="686"/>
      <c r="Q9" s="686"/>
      <c r="R9" s="778"/>
      <c r="S9" s="778"/>
    </row>
    <row r="10" spans="1:19" s="527" customFormat="1" ht="15.75" thickBot="1" x14ac:dyDescent="0.3">
      <c r="A10" s="522" t="s">
        <v>295</v>
      </c>
      <c r="B10" s="523" t="s">
        <v>310</v>
      </c>
      <c r="C10" s="524">
        <v>90</v>
      </c>
      <c r="D10" s="525">
        <f>[8]FERTILIZANTES!U77</f>
        <v>119</v>
      </c>
      <c r="E10" s="525">
        <f>D10*0.4</f>
        <v>47.6</v>
      </c>
      <c r="F10" s="797">
        <f t="shared" ref="F10:F17" si="0">C10*D10</f>
        <v>10710</v>
      </c>
      <c r="G10" s="526">
        <f t="shared" ref="G10:G17" si="1">C10*E10</f>
        <v>4284</v>
      </c>
      <c r="H10" s="791" t="s">
        <v>321</v>
      </c>
      <c r="I10" s="689"/>
      <c r="J10" s="689"/>
      <c r="K10" s="689"/>
      <c r="L10" s="689"/>
      <c r="M10" s="689"/>
      <c r="N10" s="689"/>
      <c r="O10" s="689"/>
      <c r="P10" s="689"/>
      <c r="Q10" s="689"/>
      <c r="R10" s="779"/>
      <c r="S10" s="779"/>
    </row>
    <row r="11" spans="1:19" s="519" customFormat="1" ht="15.75" thickBot="1" x14ac:dyDescent="0.3">
      <c r="A11" s="531" t="s">
        <v>450</v>
      </c>
      <c r="B11" s="532" t="s">
        <v>291</v>
      </c>
      <c r="C11" s="533">
        <v>2</v>
      </c>
      <c r="D11" s="534">
        <f>'[8]PRECIOS DE INSUMOS PLAGUICIDAS'!O106</f>
        <v>54</v>
      </c>
      <c r="E11" s="534">
        <v>10.07</v>
      </c>
      <c r="F11" s="797">
        <f t="shared" si="0"/>
        <v>108</v>
      </c>
      <c r="G11" s="526">
        <f t="shared" si="1"/>
        <v>20.14</v>
      </c>
      <c r="H11" s="791" t="s">
        <v>321</v>
      </c>
      <c r="I11" s="687"/>
      <c r="J11" s="690"/>
      <c r="K11" s="687"/>
      <c r="L11" s="686"/>
      <c r="M11" s="686"/>
      <c r="N11" s="686"/>
      <c r="O11" s="686"/>
      <c r="P11" s="686"/>
      <c r="Q11" s="686"/>
      <c r="R11" s="778"/>
      <c r="S11" s="778"/>
    </row>
    <row r="12" spans="1:19" s="519" customFormat="1" ht="15.75" thickBot="1" x14ac:dyDescent="0.3">
      <c r="A12" s="531" t="s">
        <v>930</v>
      </c>
      <c r="B12" s="532" t="s">
        <v>437</v>
      </c>
      <c r="C12" s="533">
        <v>1.3</v>
      </c>
      <c r="D12" s="534">
        <v>3000</v>
      </c>
      <c r="E12" s="534">
        <v>670</v>
      </c>
      <c r="F12" s="797">
        <f t="shared" si="0"/>
        <v>3900</v>
      </c>
      <c r="G12" s="526">
        <f t="shared" si="1"/>
        <v>871</v>
      </c>
      <c r="H12" s="791" t="s">
        <v>321</v>
      </c>
      <c r="I12" s="687"/>
      <c r="J12" s="690"/>
      <c r="K12" s="687"/>
      <c r="L12" s="686"/>
      <c r="M12" s="686"/>
      <c r="N12" s="686"/>
      <c r="O12" s="686"/>
      <c r="P12" s="686"/>
      <c r="Q12" s="686"/>
      <c r="R12" s="778"/>
      <c r="S12" s="778"/>
    </row>
    <row r="13" spans="1:19" s="519" customFormat="1" ht="15.75" thickBot="1" x14ac:dyDescent="0.3">
      <c r="A13" s="531" t="s">
        <v>284</v>
      </c>
      <c r="B13" s="532" t="s">
        <v>437</v>
      </c>
      <c r="C13" s="533">
        <v>0.5</v>
      </c>
      <c r="D13" s="534">
        <f>FERTILIZANTES!S$63</f>
        <v>3000</v>
      </c>
      <c r="E13" s="534">
        <v>490</v>
      </c>
      <c r="F13" s="797">
        <f t="shared" si="0"/>
        <v>1500</v>
      </c>
      <c r="G13" s="526">
        <f t="shared" si="1"/>
        <v>245</v>
      </c>
      <c r="H13" s="791" t="s">
        <v>321</v>
      </c>
      <c r="I13" s="687"/>
      <c r="J13" s="690"/>
      <c r="K13" s="687"/>
      <c r="L13" s="686"/>
      <c r="M13" s="686"/>
      <c r="N13" s="686"/>
      <c r="O13" s="686"/>
      <c r="P13" s="686"/>
      <c r="Q13" s="686"/>
      <c r="R13" s="778"/>
      <c r="S13" s="778"/>
    </row>
    <row r="14" spans="1:19" s="519" customFormat="1" ht="15.75" thickBot="1" x14ac:dyDescent="0.3">
      <c r="A14" s="531" t="s">
        <v>439</v>
      </c>
      <c r="B14" s="532" t="s">
        <v>292</v>
      </c>
      <c r="C14" s="533">
        <v>3</v>
      </c>
      <c r="D14" s="534">
        <f>(E14*5)+I14*2</f>
        <v>33.863999999999997</v>
      </c>
      <c r="E14" s="534">
        <v>6.64</v>
      </c>
      <c r="F14" s="797">
        <f t="shared" si="0"/>
        <v>101.59199999999998</v>
      </c>
      <c r="G14" s="526">
        <f t="shared" si="1"/>
        <v>19.919999999999998</v>
      </c>
      <c r="H14" s="791" t="s">
        <v>321</v>
      </c>
      <c r="I14" s="687">
        <f>E14*5%</f>
        <v>0.33200000000000002</v>
      </c>
      <c r="J14" s="690"/>
      <c r="K14" s="687"/>
      <c r="L14" s="686"/>
      <c r="M14" s="686"/>
      <c r="N14" s="686"/>
      <c r="O14" s="686"/>
      <c r="P14" s="686"/>
      <c r="Q14" s="686"/>
      <c r="R14" s="778"/>
      <c r="S14" s="778"/>
    </row>
    <row r="15" spans="1:19" s="519" customFormat="1" ht="15.75" thickBot="1" x14ac:dyDescent="0.3">
      <c r="A15" s="531" t="s">
        <v>286</v>
      </c>
      <c r="B15" s="532" t="s">
        <v>292</v>
      </c>
      <c r="C15" s="533">
        <v>4</v>
      </c>
      <c r="D15" s="534">
        <f>'[8]PRECIOS DE INSUMOS PLAGUICIDAS'!O112</f>
        <v>22</v>
      </c>
      <c r="E15" s="534">
        <v>3.8</v>
      </c>
      <c r="F15" s="797">
        <f t="shared" si="0"/>
        <v>88</v>
      </c>
      <c r="G15" s="526">
        <f t="shared" si="1"/>
        <v>15.2</v>
      </c>
      <c r="H15" s="791" t="s">
        <v>321</v>
      </c>
      <c r="I15" s="687"/>
      <c r="J15" s="690"/>
      <c r="K15" s="687"/>
      <c r="L15" s="686"/>
      <c r="M15" s="686"/>
      <c r="N15" s="686"/>
      <c r="O15" s="686"/>
      <c r="P15" s="686"/>
      <c r="Q15" s="686"/>
      <c r="R15" s="778"/>
      <c r="S15" s="778"/>
    </row>
    <row r="16" spans="1:19" s="519" customFormat="1" ht="15.75" thickBot="1" x14ac:dyDescent="0.3">
      <c r="A16" s="531" t="s">
        <v>285</v>
      </c>
      <c r="B16" s="532" t="s">
        <v>292</v>
      </c>
      <c r="C16" s="533">
        <v>2</v>
      </c>
      <c r="D16" s="534">
        <f>'[8]PRECIOS DE INSUMOS PLAGUICIDAS'!O113</f>
        <v>45</v>
      </c>
      <c r="E16" s="534">
        <v>6.7</v>
      </c>
      <c r="F16" s="797">
        <f t="shared" si="0"/>
        <v>90</v>
      </c>
      <c r="G16" s="526">
        <f t="shared" si="1"/>
        <v>13.4</v>
      </c>
      <c r="H16" s="791" t="s">
        <v>321</v>
      </c>
      <c r="I16" s="687"/>
      <c r="J16" s="690"/>
      <c r="K16" s="687"/>
      <c r="L16" s="686"/>
      <c r="M16" s="686"/>
      <c r="N16" s="686"/>
      <c r="O16" s="686"/>
      <c r="P16" s="686"/>
      <c r="Q16" s="686"/>
      <c r="R16" s="778"/>
      <c r="S16" s="778"/>
    </row>
    <row r="17" spans="1:19" s="519" customFormat="1" ht="15.75" thickBot="1" x14ac:dyDescent="0.3">
      <c r="A17" s="531" t="s">
        <v>438</v>
      </c>
      <c r="B17" s="532" t="s">
        <v>292</v>
      </c>
      <c r="C17" s="533">
        <v>20</v>
      </c>
      <c r="D17" s="534">
        <f>E17+E17*5%</f>
        <v>10.290000000000001</v>
      </c>
      <c r="E17" s="534">
        <v>9.8000000000000007</v>
      </c>
      <c r="F17" s="797">
        <f t="shared" si="0"/>
        <v>205.8</v>
      </c>
      <c r="G17" s="526">
        <f t="shared" si="1"/>
        <v>196</v>
      </c>
      <c r="H17" s="791" t="s">
        <v>321</v>
      </c>
      <c r="I17" s="687"/>
      <c r="J17" s="690"/>
      <c r="K17" s="687"/>
      <c r="L17" s="686"/>
      <c r="M17" s="686"/>
      <c r="N17" s="686"/>
      <c r="O17" s="686"/>
      <c r="P17" s="686"/>
      <c r="Q17" s="686"/>
      <c r="R17" s="778"/>
      <c r="S17" s="778"/>
    </row>
    <row r="18" spans="1:19" s="540" customFormat="1" ht="15" x14ac:dyDescent="0.25">
      <c r="A18" s="535" t="s">
        <v>931</v>
      </c>
      <c r="B18" s="536"/>
      <c r="C18" s="537"/>
      <c r="D18" s="538"/>
      <c r="E18" s="538"/>
      <c r="F18" s="798">
        <v>210</v>
      </c>
      <c r="G18" s="539">
        <v>40</v>
      </c>
      <c r="H18" s="791" t="s">
        <v>321</v>
      </c>
      <c r="I18" s="690"/>
      <c r="J18" s="690"/>
      <c r="K18" s="690"/>
      <c r="L18" s="691"/>
      <c r="M18" s="691"/>
      <c r="N18" s="691"/>
      <c r="O18" s="691"/>
      <c r="P18" s="691"/>
      <c r="Q18" s="691"/>
      <c r="R18" s="780"/>
      <c r="S18" s="780"/>
    </row>
    <row r="19" spans="1:19" s="540" customFormat="1" ht="15" x14ac:dyDescent="0.25">
      <c r="A19" s="535" t="s">
        <v>932</v>
      </c>
      <c r="B19" s="536"/>
      <c r="C19" s="537"/>
      <c r="D19" s="538"/>
      <c r="E19" s="538"/>
      <c r="F19" s="799">
        <f>SUM(F10:F18)</f>
        <v>16913.392</v>
      </c>
      <c r="G19" s="541">
        <f>SUM(G10:G18)</f>
        <v>5704.66</v>
      </c>
      <c r="H19" s="791" t="s">
        <v>321</v>
      </c>
      <c r="I19" s="690"/>
      <c r="J19" s="690"/>
      <c r="K19" s="690"/>
      <c r="L19" s="691"/>
      <c r="M19" s="691"/>
      <c r="N19" s="691"/>
      <c r="O19" s="691"/>
      <c r="P19" s="691"/>
      <c r="Q19" s="691"/>
      <c r="R19" s="780"/>
      <c r="S19" s="780"/>
    </row>
    <row r="20" spans="1:19" s="519" customFormat="1" ht="15" x14ac:dyDescent="0.25">
      <c r="A20" s="535" t="s">
        <v>933</v>
      </c>
      <c r="B20" s="532"/>
      <c r="C20" s="533"/>
      <c r="D20" s="534"/>
      <c r="E20" s="534"/>
      <c r="F20" s="800"/>
      <c r="G20" s="542"/>
      <c r="H20" s="791" t="s">
        <v>321</v>
      </c>
      <c r="I20" s="687"/>
      <c r="J20" s="690"/>
      <c r="K20" s="687"/>
      <c r="L20" s="686"/>
      <c r="M20" s="686"/>
      <c r="N20" s="686"/>
      <c r="O20" s="686"/>
      <c r="P20" s="686"/>
      <c r="Q20" s="686"/>
      <c r="R20" s="778"/>
      <c r="S20" s="778"/>
    </row>
    <row r="21" spans="1:19" s="519" customFormat="1" ht="15" x14ac:dyDescent="0.25">
      <c r="A21" s="531" t="s">
        <v>283</v>
      </c>
      <c r="B21" s="532" t="s">
        <v>934</v>
      </c>
      <c r="C21" s="533">
        <v>16.8</v>
      </c>
      <c r="D21" s="534">
        <v>18</v>
      </c>
      <c r="E21" s="534">
        <f>D21*0.4</f>
        <v>7.2</v>
      </c>
      <c r="F21" s="800">
        <f>C21*D21</f>
        <v>302.40000000000003</v>
      </c>
      <c r="G21" s="542">
        <f>C21*E21</f>
        <v>120.96000000000001</v>
      </c>
      <c r="H21" s="791" t="s">
        <v>321</v>
      </c>
      <c r="I21" s="687"/>
      <c r="J21" s="690">
        <f>F21</f>
        <v>302.40000000000003</v>
      </c>
      <c r="K21" s="687"/>
      <c r="L21" s="686"/>
      <c r="M21" s="686"/>
      <c r="N21" s="686"/>
      <c r="O21" s="686"/>
      <c r="P21" s="686"/>
      <c r="Q21" s="686"/>
      <c r="R21" s="778"/>
      <c r="S21" s="778"/>
    </row>
    <row r="22" spans="1:19" s="519" customFormat="1" ht="15" x14ac:dyDescent="0.25">
      <c r="A22" s="531" t="s">
        <v>234</v>
      </c>
      <c r="B22" s="532" t="s">
        <v>291</v>
      </c>
      <c r="C22" s="533">
        <v>284.57499999999999</v>
      </c>
      <c r="D22" s="534">
        <f>'[8]Mat Boniato'!D22</f>
        <v>1</v>
      </c>
      <c r="E22" s="534">
        <f>'[8]Mat Boniato'!E22</f>
        <v>1</v>
      </c>
      <c r="F22" s="800">
        <f>C22*D22</f>
        <v>284.57499999999999</v>
      </c>
      <c r="G22" s="542">
        <f>C22*E22</f>
        <v>284.57499999999999</v>
      </c>
      <c r="H22" s="791" t="s">
        <v>321</v>
      </c>
      <c r="I22" s="687">
        <v>24.75</v>
      </c>
      <c r="J22" s="690">
        <f>C22*I22</f>
        <v>7043.2312499999998</v>
      </c>
      <c r="K22" s="687"/>
      <c r="L22" s="686"/>
      <c r="M22" s="686"/>
      <c r="N22" s="686"/>
      <c r="O22" s="686"/>
      <c r="P22" s="686"/>
      <c r="Q22" s="686"/>
      <c r="R22" s="778"/>
      <c r="S22" s="778"/>
    </row>
    <row r="23" spans="1:19" s="519" customFormat="1" ht="15" x14ac:dyDescent="0.25">
      <c r="A23" s="543" t="s">
        <v>935</v>
      </c>
      <c r="B23" s="532" t="s">
        <v>936</v>
      </c>
      <c r="C23" s="533">
        <v>2544</v>
      </c>
      <c r="D23" s="534">
        <v>0.17</v>
      </c>
      <c r="E23" s="534">
        <f>D23*0.4</f>
        <v>6.8000000000000005E-2</v>
      </c>
      <c r="F23" s="800">
        <f>C23*D23</f>
        <v>432.48</v>
      </c>
      <c r="G23" s="542">
        <f>C23*E23</f>
        <v>172.99200000000002</v>
      </c>
      <c r="H23" s="791" t="s">
        <v>321</v>
      </c>
      <c r="I23" s="687"/>
      <c r="J23" s="687">
        <f>F23</f>
        <v>432.48</v>
      </c>
      <c r="K23" s="687"/>
      <c r="L23" s="686"/>
      <c r="M23" s="686"/>
      <c r="N23" s="686"/>
      <c r="O23" s="686"/>
      <c r="P23" s="686"/>
      <c r="Q23" s="686"/>
      <c r="R23" s="778"/>
      <c r="S23" s="778"/>
    </row>
    <row r="24" spans="1:19" s="540" customFormat="1" ht="15" x14ac:dyDescent="0.25">
      <c r="A24" s="544" t="s">
        <v>937</v>
      </c>
      <c r="B24" s="536"/>
      <c r="C24" s="538"/>
      <c r="D24" s="538"/>
      <c r="E24" s="538"/>
      <c r="F24" s="799">
        <f>SUM(F21:F23)</f>
        <v>1019.455</v>
      </c>
      <c r="G24" s="541">
        <f>SUM(G21:G23)</f>
        <v>578.52700000000004</v>
      </c>
      <c r="H24" s="791" t="s">
        <v>321</v>
      </c>
      <c r="I24" s="690"/>
      <c r="J24" s="690">
        <f>SUM(J21:J23)</f>
        <v>7778.1112499999999</v>
      </c>
      <c r="K24" s="690"/>
      <c r="L24" s="691"/>
      <c r="M24" s="691"/>
      <c r="N24" s="691"/>
      <c r="O24" s="691"/>
      <c r="P24" s="691"/>
      <c r="Q24" s="691"/>
      <c r="R24" s="780"/>
      <c r="S24" s="780"/>
    </row>
    <row r="25" spans="1:19" s="540" customFormat="1" ht="15.75" thickBot="1" x14ac:dyDescent="0.3">
      <c r="A25" s="545" t="s">
        <v>938</v>
      </c>
      <c r="B25" s="546"/>
      <c r="C25" s="547"/>
      <c r="D25" s="547"/>
      <c r="E25" s="547"/>
      <c r="F25" s="801">
        <f>F19+F24</f>
        <v>17932.847000000002</v>
      </c>
      <c r="G25" s="548">
        <f>G19+G24</f>
        <v>6283.1869999999999</v>
      </c>
      <c r="H25" s="791" t="s">
        <v>321</v>
      </c>
      <c r="I25" s="690"/>
      <c r="J25" s="690"/>
      <c r="K25" s="690"/>
      <c r="L25" s="691"/>
      <c r="M25" s="691"/>
      <c r="N25" s="691"/>
      <c r="O25" s="691"/>
      <c r="P25" s="691"/>
      <c r="Q25" s="691"/>
      <c r="R25" s="780"/>
      <c r="S25" s="780"/>
    </row>
    <row r="26" spans="1:19" s="519" customFormat="1" ht="15.75" thickBot="1" x14ac:dyDescent="0.3">
      <c r="A26" s="2305"/>
      <c r="B26" s="2306"/>
      <c r="C26" s="2306"/>
      <c r="D26" s="2306"/>
      <c r="E26" s="2306"/>
      <c r="F26" s="2306"/>
      <c r="G26" s="2307"/>
      <c r="H26" s="791" t="s">
        <v>321</v>
      </c>
      <c r="I26" s="687"/>
      <c r="J26" s="687"/>
      <c r="K26" s="687"/>
      <c r="L26" s="686"/>
      <c r="M26" s="686"/>
      <c r="N26" s="686"/>
      <c r="O26" s="686"/>
      <c r="P26" s="686"/>
      <c r="Q26" s="686"/>
      <c r="R26" s="778"/>
      <c r="S26" s="778"/>
    </row>
    <row r="27" spans="1:19" s="519" customFormat="1" ht="15" x14ac:dyDescent="0.25">
      <c r="A27" s="2331" t="s">
        <v>232</v>
      </c>
      <c r="B27" s="2332"/>
      <c r="C27" s="2332"/>
      <c r="D27" s="2332"/>
      <c r="E27" s="2340"/>
      <c r="F27" s="2341" t="s">
        <v>230</v>
      </c>
      <c r="G27" s="2334"/>
      <c r="H27" s="791" t="s">
        <v>321</v>
      </c>
      <c r="I27" s="687"/>
      <c r="J27" s="687"/>
      <c r="K27" s="687"/>
      <c r="L27" s="686"/>
      <c r="M27" s="686"/>
      <c r="N27" s="686"/>
      <c r="O27" s="686"/>
      <c r="P27" s="686"/>
      <c r="Q27" s="686"/>
      <c r="R27" s="778"/>
      <c r="S27" s="778"/>
    </row>
    <row r="28" spans="1:19" s="519" customFormat="1" ht="15.75" thickBot="1" x14ac:dyDescent="0.3">
      <c r="A28" s="2342"/>
      <c r="B28" s="2343"/>
      <c r="C28" s="2343"/>
      <c r="D28" s="2343"/>
      <c r="E28" s="2344"/>
      <c r="F28" s="2335"/>
      <c r="G28" s="2336"/>
      <c r="H28" s="791" t="s">
        <v>321</v>
      </c>
      <c r="I28" s="687"/>
      <c r="J28" s="687"/>
      <c r="K28" s="687"/>
      <c r="L28" s="686"/>
      <c r="M28" s="686"/>
      <c r="N28" s="686"/>
      <c r="O28" s="686"/>
      <c r="P28" s="686"/>
      <c r="Q28" s="686"/>
      <c r="R28" s="778"/>
      <c r="S28" s="778"/>
    </row>
    <row r="29" spans="1:19" s="519" customFormat="1" ht="15" x14ac:dyDescent="0.25">
      <c r="A29" s="2331" t="s">
        <v>939</v>
      </c>
      <c r="B29" s="2332"/>
      <c r="C29" s="2332"/>
      <c r="D29" s="2332"/>
      <c r="E29" s="2332"/>
      <c r="F29" s="2333">
        <f ca="1">TODAY()</f>
        <v>45398</v>
      </c>
      <c r="G29" s="2345"/>
      <c r="H29" s="791" t="s">
        <v>321</v>
      </c>
      <c r="I29" s="687"/>
      <c r="J29" s="687"/>
      <c r="K29" s="687"/>
      <c r="L29" s="686"/>
      <c r="M29" s="686"/>
      <c r="N29" s="686"/>
      <c r="O29" s="686"/>
      <c r="P29" s="686"/>
      <c r="Q29" s="686"/>
      <c r="R29" s="778"/>
      <c r="S29" s="778"/>
    </row>
    <row r="30" spans="1:19" s="519" customFormat="1" ht="17.25" customHeight="1" thickBot="1" x14ac:dyDescent="0.3">
      <c r="A30" s="2346"/>
      <c r="B30" s="2347"/>
      <c r="C30" s="2347"/>
      <c r="D30" s="2347"/>
      <c r="E30" s="2348"/>
      <c r="F30" s="2335"/>
      <c r="G30" s="2336"/>
      <c r="H30" s="791" t="s">
        <v>321</v>
      </c>
      <c r="I30" s="687"/>
      <c r="J30" s="687"/>
      <c r="K30" s="687"/>
      <c r="L30" s="686"/>
      <c r="M30" s="686"/>
      <c r="N30" s="686"/>
      <c r="O30" s="686"/>
      <c r="P30" s="686"/>
      <c r="Q30" s="686"/>
      <c r="R30" s="778"/>
      <c r="S30" s="778"/>
    </row>
    <row r="31" spans="1:19" s="519" customFormat="1" ht="15" x14ac:dyDescent="0.25">
      <c r="A31" s="2308" t="s">
        <v>229</v>
      </c>
      <c r="B31" s="2309"/>
      <c r="C31" s="2309"/>
      <c r="D31" s="2309"/>
      <c r="E31" s="2309"/>
      <c r="F31" s="2309"/>
      <c r="G31" s="2310"/>
      <c r="H31" s="791" t="s">
        <v>24</v>
      </c>
      <c r="I31" s="687"/>
      <c r="J31" s="687"/>
      <c r="K31" s="687"/>
      <c r="L31" s="686"/>
      <c r="M31" s="686"/>
      <c r="N31" s="686"/>
      <c r="O31" s="686"/>
      <c r="P31" s="686"/>
      <c r="Q31" s="686"/>
      <c r="R31" s="778"/>
      <c r="S31" s="778"/>
    </row>
    <row r="32" spans="1:19" s="519" customFormat="1" ht="17.25" customHeight="1" x14ac:dyDescent="0.25">
      <c r="A32" s="2311" t="s">
        <v>925</v>
      </c>
      <c r="B32" s="2312"/>
      <c r="C32" s="2312"/>
      <c r="D32" s="2312"/>
      <c r="E32" s="2312"/>
      <c r="F32" s="2312"/>
      <c r="G32" s="2313"/>
      <c r="H32" s="791" t="s">
        <v>24</v>
      </c>
      <c r="I32" s="687"/>
      <c r="J32" s="687"/>
      <c r="K32" s="687"/>
      <c r="L32" s="686"/>
      <c r="M32" s="686"/>
      <c r="N32" s="686"/>
      <c r="O32" s="686"/>
      <c r="P32" s="686"/>
      <c r="Q32" s="686"/>
      <c r="R32" s="778"/>
      <c r="S32" s="778"/>
    </row>
    <row r="33" spans="1:19" s="519" customFormat="1" ht="15" x14ac:dyDescent="0.25">
      <c r="A33" s="2359" t="s">
        <v>26</v>
      </c>
      <c r="B33" s="2198"/>
      <c r="C33" s="2198"/>
      <c r="D33" s="520"/>
      <c r="E33" s="2316"/>
      <c r="F33" s="2316"/>
      <c r="G33" s="2317"/>
      <c r="H33" s="791" t="s">
        <v>24</v>
      </c>
      <c r="I33" s="687"/>
      <c r="J33" s="688"/>
      <c r="K33" s="687"/>
      <c r="L33" s="686"/>
      <c r="M33" s="686"/>
      <c r="N33" s="686"/>
      <c r="O33" s="686"/>
      <c r="P33" s="686"/>
      <c r="Q33" s="686"/>
      <c r="R33" s="778"/>
      <c r="S33" s="778"/>
    </row>
    <row r="34" spans="1:19" s="519" customFormat="1" ht="15.75" thickBot="1" x14ac:dyDescent="0.3">
      <c r="A34" s="2318"/>
      <c r="B34" s="2319"/>
      <c r="C34" s="2319"/>
      <c r="D34" s="2319"/>
      <c r="E34" s="2319"/>
      <c r="F34" s="2319"/>
      <c r="G34" s="2320"/>
      <c r="H34" s="791" t="s">
        <v>24</v>
      </c>
      <c r="I34" s="687"/>
      <c r="J34" s="687"/>
      <c r="K34" s="687"/>
      <c r="L34" s="686"/>
      <c r="M34" s="686"/>
      <c r="N34" s="686"/>
      <c r="O34" s="686"/>
      <c r="P34" s="686"/>
      <c r="Q34" s="686"/>
      <c r="R34" s="778"/>
      <c r="S34" s="778"/>
    </row>
    <row r="35" spans="1:19" s="519" customFormat="1" ht="13.5" customHeight="1" thickBot="1" x14ac:dyDescent="0.3">
      <c r="A35" s="2321" t="s">
        <v>926</v>
      </c>
      <c r="B35" s="2321" t="s">
        <v>226</v>
      </c>
      <c r="C35" s="2363" t="s">
        <v>927</v>
      </c>
      <c r="D35" s="2303" t="s">
        <v>227</v>
      </c>
      <c r="E35" s="2327"/>
      <c r="F35" s="2303" t="s">
        <v>928</v>
      </c>
      <c r="G35" s="2304"/>
      <c r="H35" s="791" t="s">
        <v>24</v>
      </c>
      <c r="I35" s="687"/>
      <c r="J35" s="687"/>
      <c r="K35" s="687"/>
      <c r="L35" s="686"/>
      <c r="M35" s="686"/>
      <c r="N35" s="686"/>
      <c r="O35" s="686"/>
      <c r="P35" s="686"/>
      <c r="Q35" s="686"/>
      <c r="R35" s="778"/>
      <c r="S35" s="778"/>
    </row>
    <row r="36" spans="1:19" s="519" customFormat="1" ht="19.5" customHeight="1" x14ac:dyDescent="0.25">
      <c r="A36" s="2322"/>
      <c r="B36" s="2322"/>
      <c r="C36" s="2364"/>
      <c r="D36" s="2297" t="s">
        <v>219</v>
      </c>
      <c r="E36" s="2299" t="s">
        <v>929</v>
      </c>
      <c r="F36" s="2301" t="s">
        <v>219</v>
      </c>
      <c r="G36" s="2299" t="s">
        <v>929</v>
      </c>
      <c r="H36" s="791" t="s">
        <v>24</v>
      </c>
      <c r="I36" s="687"/>
      <c r="J36" s="687"/>
      <c r="K36" s="687"/>
      <c r="L36" s="686"/>
      <c r="M36" s="686"/>
      <c r="N36" s="686"/>
      <c r="O36" s="686"/>
      <c r="P36" s="686"/>
      <c r="Q36" s="686"/>
      <c r="R36" s="778"/>
      <c r="S36" s="778"/>
    </row>
    <row r="37" spans="1:19" s="519" customFormat="1" ht="27" customHeight="1" thickBot="1" x14ac:dyDescent="0.3">
      <c r="A37" s="2323"/>
      <c r="B37" s="2323"/>
      <c r="C37" s="2365"/>
      <c r="D37" s="2298"/>
      <c r="E37" s="2300"/>
      <c r="F37" s="2302"/>
      <c r="G37" s="2300"/>
      <c r="H37" s="791" t="s">
        <v>24</v>
      </c>
      <c r="I37" s="687"/>
      <c r="J37" s="687"/>
      <c r="K37" s="687"/>
      <c r="L37" s="686"/>
      <c r="M37" s="686"/>
      <c r="N37" s="686"/>
      <c r="O37" s="686"/>
      <c r="P37" s="686"/>
      <c r="Q37" s="686"/>
      <c r="R37" s="778"/>
      <c r="S37" s="778"/>
    </row>
    <row r="38" spans="1:19" s="519" customFormat="1" ht="15.75" thickBot="1" x14ac:dyDescent="0.3">
      <c r="A38" s="521">
        <v>1</v>
      </c>
      <c r="B38" s="521">
        <v>2</v>
      </c>
      <c r="C38" s="521">
        <v>3</v>
      </c>
      <c r="D38" s="521">
        <v>4</v>
      </c>
      <c r="E38" s="521">
        <v>5</v>
      </c>
      <c r="F38" s="796">
        <v>6</v>
      </c>
      <c r="G38" s="521">
        <v>7</v>
      </c>
      <c r="H38" s="791" t="s">
        <v>24</v>
      </c>
      <c r="I38" s="685"/>
      <c r="J38" s="685"/>
      <c r="K38" s="685"/>
      <c r="L38" s="686"/>
      <c r="M38" s="686"/>
      <c r="N38" s="686"/>
      <c r="O38" s="686"/>
      <c r="P38" s="686"/>
      <c r="Q38" s="686"/>
      <c r="R38" s="778"/>
      <c r="S38" s="778"/>
    </row>
    <row r="39" spans="1:19" s="527" customFormat="1" ht="15.75" thickBot="1" x14ac:dyDescent="0.3">
      <c r="A39" s="553" t="s">
        <v>295</v>
      </c>
      <c r="B39" s="523" t="s">
        <v>310</v>
      </c>
      <c r="C39" s="524">
        <v>90</v>
      </c>
      <c r="D39" s="525" t="e">
        <f>[8]FERTILIZANTES!U106</f>
        <v>#REF!</v>
      </c>
      <c r="E39" s="525" t="e">
        <f>D39*0.4</f>
        <v>#REF!</v>
      </c>
      <c r="F39" s="797" t="e">
        <f t="shared" ref="F39:F46" si="2">C39*D39</f>
        <v>#REF!</v>
      </c>
      <c r="G39" s="587" t="e">
        <f t="shared" ref="G39:G46" si="3">C39*E39</f>
        <v>#REF!</v>
      </c>
      <c r="H39" s="791" t="s">
        <v>24</v>
      </c>
      <c r="I39" s="689"/>
      <c r="J39" s="689"/>
      <c r="K39" s="689"/>
      <c r="L39" s="689"/>
      <c r="M39" s="689"/>
      <c r="N39" s="689"/>
      <c r="O39" s="689"/>
      <c r="P39" s="689"/>
      <c r="Q39" s="689"/>
      <c r="R39" s="779"/>
      <c r="S39" s="779"/>
    </row>
    <row r="40" spans="1:19" s="519" customFormat="1" ht="15.75" thickBot="1" x14ac:dyDescent="0.3">
      <c r="A40" s="565" t="s">
        <v>450</v>
      </c>
      <c r="B40" s="532" t="s">
        <v>638</v>
      </c>
      <c r="C40" s="533">
        <v>2</v>
      </c>
      <c r="D40" s="534">
        <f>'[8]PRECIOS DE INSUMOS PLAGUICIDAS'!O136</f>
        <v>142</v>
      </c>
      <c r="E40" s="534">
        <v>10.07</v>
      </c>
      <c r="F40" s="802">
        <f t="shared" si="2"/>
        <v>284</v>
      </c>
      <c r="G40" s="587">
        <f t="shared" si="3"/>
        <v>20.14</v>
      </c>
      <c r="H40" s="791" t="s">
        <v>24</v>
      </c>
      <c r="I40" s="687"/>
      <c r="J40" s="690"/>
      <c r="K40" s="687"/>
      <c r="L40" s="686"/>
      <c r="M40" s="686"/>
      <c r="N40" s="686"/>
      <c r="O40" s="686"/>
      <c r="P40" s="686"/>
      <c r="Q40" s="686"/>
      <c r="R40" s="778"/>
      <c r="S40" s="778"/>
    </row>
    <row r="41" spans="1:19" s="519" customFormat="1" ht="15.75" thickBot="1" x14ac:dyDescent="0.3">
      <c r="A41" s="565" t="s">
        <v>930</v>
      </c>
      <c r="B41" s="532" t="s">
        <v>437</v>
      </c>
      <c r="C41" s="533">
        <v>1.2</v>
      </c>
      <c r="D41" s="534">
        <v>3000</v>
      </c>
      <c r="E41" s="534">
        <v>670</v>
      </c>
      <c r="F41" s="802">
        <f t="shared" si="2"/>
        <v>3600</v>
      </c>
      <c r="G41" s="587">
        <f t="shared" si="3"/>
        <v>804</v>
      </c>
      <c r="H41" s="791" t="s">
        <v>24</v>
      </c>
      <c r="I41" s="687"/>
      <c r="J41" s="690"/>
      <c r="K41" s="687"/>
      <c r="L41" s="686"/>
      <c r="M41" s="686"/>
      <c r="N41" s="686"/>
      <c r="O41" s="686"/>
      <c r="P41" s="686"/>
      <c r="Q41" s="686"/>
      <c r="R41" s="778"/>
      <c r="S41" s="778"/>
    </row>
    <row r="42" spans="1:19" s="519" customFormat="1" ht="15.75" thickBot="1" x14ac:dyDescent="0.3">
      <c r="A42" s="565" t="s">
        <v>284</v>
      </c>
      <c r="B42" s="532" t="s">
        <v>437</v>
      </c>
      <c r="C42" s="533">
        <v>0.5</v>
      </c>
      <c r="D42" s="534">
        <f>FERTILIZANTES!S$63</f>
        <v>3000</v>
      </c>
      <c r="E42" s="534">
        <v>490</v>
      </c>
      <c r="F42" s="802">
        <f t="shared" si="2"/>
        <v>1500</v>
      </c>
      <c r="G42" s="587">
        <f t="shared" si="3"/>
        <v>245</v>
      </c>
      <c r="H42" s="791" t="s">
        <v>24</v>
      </c>
      <c r="I42" s="687"/>
      <c r="J42" s="690"/>
      <c r="K42" s="687"/>
      <c r="L42" s="686"/>
      <c r="M42" s="686"/>
      <c r="N42" s="686"/>
      <c r="O42" s="686"/>
      <c r="P42" s="686"/>
      <c r="Q42" s="686"/>
      <c r="R42" s="778"/>
      <c r="S42" s="778"/>
    </row>
    <row r="43" spans="1:19" s="519" customFormat="1" ht="15.75" thickBot="1" x14ac:dyDescent="0.3">
      <c r="A43" s="565" t="s">
        <v>439</v>
      </c>
      <c r="B43" s="532" t="s">
        <v>292</v>
      </c>
      <c r="C43" s="533">
        <v>3</v>
      </c>
      <c r="D43" s="534" t="e">
        <f>'[8]IM M COLOC'!D44</f>
        <v>#REF!</v>
      </c>
      <c r="E43" s="534">
        <v>6.64</v>
      </c>
      <c r="F43" s="802" t="e">
        <f t="shared" si="2"/>
        <v>#REF!</v>
      </c>
      <c r="G43" s="587">
        <f t="shared" si="3"/>
        <v>19.919999999999998</v>
      </c>
      <c r="H43" s="791" t="s">
        <v>24</v>
      </c>
      <c r="I43" s="687"/>
      <c r="J43" s="690"/>
      <c r="K43" s="687"/>
      <c r="L43" s="686"/>
      <c r="M43" s="686"/>
      <c r="N43" s="686"/>
      <c r="O43" s="686"/>
      <c r="P43" s="686"/>
      <c r="Q43" s="686"/>
      <c r="R43" s="778"/>
      <c r="S43" s="778"/>
    </row>
    <row r="44" spans="1:19" s="519" customFormat="1" ht="15.75" thickBot="1" x14ac:dyDescent="0.3">
      <c r="A44" s="565" t="s">
        <v>286</v>
      </c>
      <c r="B44" s="532" t="s">
        <v>292</v>
      </c>
      <c r="C44" s="533">
        <v>6</v>
      </c>
      <c r="D44" s="534">
        <f>'[8]PRECIOS DE INSUMOS PLAGUICIDAS'!O142</f>
        <v>103</v>
      </c>
      <c r="E44" s="534">
        <v>3.8</v>
      </c>
      <c r="F44" s="802">
        <f t="shared" si="2"/>
        <v>618</v>
      </c>
      <c r="G44" s="587">
        <f t="shared" si="3"/>
        <v>22.799999999999997</v>
      </c>
      <c r="H44" s="791" t="s">
        <v>24</v>
      </c>
      <c r="I44" s="687"/>
      <c r="J44" s="690"/>
      <c r="K44" s="687"/>
      <c r="L44" s="686"/>
      <c r="M44" s="686"/>
      <c r="N44" s="686"/>
      <c r="O44" s="686"/>
      <c r="P44" s="686"/>
      <c r="Q44" s="686"/>
      <c r="R44" s="778"/>
      <c r="S44" s="778"/>
    </row>
    <row r="45" spans="1:19" s="519" customFormat="1" ht="15.75" thickBot="1" x14ac:dyDescent="0.3">
      <c r="A45" s="565" t="s">
        <v>285</v>
      </c>
      <c r="B45" s="532" t="s">
        <v>292</v>
      </c>
      <c r="C45" s="533">
        <v>2</v>
      </c>
      <c r="D45" s="534">
        <f>'[8]PRECIOS DE INSUMOS PLAGUICIDAS'!O143</f>
        <v>326</v>
      </c>
      <c r="E45" s="534">
        <v>6.7</v>
      </c>
      <c r="F45" s="802">
        <f t="shared" si="2"/>
        <v>652</v>
      </c>
      <c r="G45" s="587">
        <f t="shared" si="3"/>
        <v>13.4</v>
      </c>
      <c r="H45" s="791" t="s">
        <v>24</v>
      </c>
      <c r="I45" s="687"/>
      <c r="J45" s="690"/>
      <c r="K45" s="687"/>
      <c r="L45" s="686"/>
      <c r="M45" s="686"/>
      <c r="N45" s="686"/>
      <c r="O45" s="686"/>
      <c r="P45" s="686"/>
      <c r="Q45" s="686"/>
      <c r="R45" s="778"/>
      <c r="S45" s="778"/>
    </row>
    <row r="46" spans="1:19" s="519" customFormat="1" ht="15.75" thickBot="1" x14ac:dyDescent="0.3">
      <c r="A46" s="565" t="s">
        <v>438</v>
      </c>
      <c r="B46" s="532" t="s">
        <v>292</v>
      </c>
      <c r="C46" s="533">
        <v>9</v>
      </c>
      <c r="D46" s="534">
        <f>E46+E46*5%</f>
        <v>10.290000000000001</v>
      </c>
      <c r="E46" s="534">
        <v>9.8000000000000007</v>
      </c>
      <c r="F46" s="802">
        <f t="shared" si="2"/>
        <v>92.610000000000014</v>
      </c>
      <c r="G46" s="587">
        <f t="shared" si="3"/>
        <v>88.2</v>
      </c>
      <c r="H46" s="791" t="s">
        <v>24</v>
      </c>
      <c r="I46" s="687"/>
      <c r="J46" s="690"/>
      <c r="K46" s="687"/>
      <c r="L46" s="686"/>
      <c r="M46" s="686"/>
      <c r="N46" s="686"/>
      <c r="O46" s="686"/>
      <c r="P46" s="686"/>
      <c r="Q46" s="686"/>
      <c r="R46" s="778"/>
      <c r="S46" s="778"/>
    </row>
    <row r="47" spans="1:19" s="540" customFormat="1" ht="15.75" thickBot="1" x14ac:dyDescent="0.3">
      <c r="A47" s="565" t="s">
        <v>931</v>
      </c>
      <c r="B47" s="536"/>
      <c r="C47" s="537"/>
      <c r="D47" s="538"/>
      <c r="E47" s="538"/>
      <c r="F47" s="802">
        <v>200</v>
      </c>
      <c r="G47" s="587">
        <v>40</v>
      </c>
      <c r="H47" s="791" t="s">
        <v>24</v>
      </c>
      <c r="I47" s="690"/>
      <c r="J47" s="690"/>
      <c r="K47" s="690"/>
      <c r="L47" s="691"/>
      <c r="M47" s="691"/>
      <c r="N47" s="691"/>
      <c r="O47" s="691"/>
      <c r="P47" s="691"/>
      <c r="Q47" s="691"/>
      <c r="R47" s="780"/>
      <c r="S47" s="780"/>
    </row>
    <row r="48" spans="1:19" s="540" customFormat="1" ht="15.75" thickBot="1" x14ac:dyDescent="0.3">
      <c r="A48" s="559" t="s">
        <v>932</v>
      </c>
      <c r="B48" s="536"/>
      <c r="C48" s="537"/>
      <c r="D48" s="538"/>
      <c r="E48" s="538"/>
      <c r="F48" s="799" t="e">
        <f>SUM(F39:F47)</f>
        <v>#REF!</v>
      </c>
      <c r="G48" s="588" t="e">
        <f>SUM(G39:G47)</f>
        <v>#REF!</v>
      </c>
      <c r="H48" s="791" t="s">
        <v>24</v>
      </c>
      <c r="I48" s="690"/>
      <c r="J48" s="690"/>
      <c r="K48" s="690"/>
      <c r="L48" s="691"/>
      <c r="M48" s="691"/>
      <c r="N48" s="691"/>
      <c r="O48" s="691"/>
      <c r="P48" s="691"/>
      <c r="Q48" s="691"/>
      <c r="R48" s="780"/>
      <c r="S48" s="780"/>
    </row>
    <row r="49" spans="1:19" s="519" customFormat="1" ht="15.75" thickBot="1" x14ac:dyDescent="0.3">
      <c r="A49" s="559" t="s">
        <v>933</v>
      </c>
      <c r="B49" s="532"/>
      <c r="C49" s="533"/>
      <c r="D49" s="534"/>
      <c r="E49" s="534"/>
      <c r="F49" s="803"/>
      <c r="G49" s="589"/>
      <c r="H49" s="791" t="s">
        <v>24</v>
      </c>
      <c r="I49" s="687"/>
      <c r="J49" s="690"/>
      <c r="K49" s="687"/>
      <c r="L49" s="686"/>
      <c r="M49" s="686"/>
      <c r="N49" s="686"/>
      <c r="O49" s="686"/>
      <c r="P49" s="686"/>
      <c r="Q49" s="686"/>
      <c r="R49" s="778"/>
      <c r="S49" s="778"/>
    </row>
    <row r="50" spans="1:19" s="519" customFormat="1" ht="15.75" thickBot="1" x14ac:dyDescent="0.3">
      <c r="A50" s="565" t="s">
        <v>283</v>
      </c>
      <c r="B50" s="532" t="s">
        <v>934</v>
      </c>
      <c r="C50" s="533">
        <v>13.3</v>
      </c>
      <c r="D50" s="534">
        <v>18</v>
      </c>
      <c r="E50" s="534">
        <f>D50*0.4</f>
        <v>7.2</v>
      </c>
      <c r="F50" s="803">
        <f>C50*D50</f>
        <v>239.4</v>
      </c>
      <c r="G50" s="589">
        <f>C50*E50</f>
        <v>95.76</v>
      </c>
      <c r="H50" s="791" t="s">
        <v>24</v>
      </c>
      <c r="I50" s="687"/>
      <c r="J50" s="690">
        <f>F50</f>
        <v>239.4</v>
      </c>
      <c r="K50" s="687"/>
      <c r="L50" s="686"/>
      <c r="M50" s="686"/>
      <c r="N50" s="686"/>
      <c r="O50" s="686"/>
      <c r="P50" s="686"/>
      <c r="Q50" s="686"/>
      <c r="R50" s="778"/>
      <c r="S50" s="778"/>
    </row>
    <row r="51" spans="1:19" s="519" customFormat="1" ht="15.75" thickBot="1" x14ac:dyDescent="0.3">
      <c r="A51" s="565" t="s">
        <v>234</v>
      </c>
      <c r="B51" s="532" t="s">
        <v>638</v>
      </c>
      <c r="C51" s="533">
        <v>246.52</v>
      </c>
      <c r="D51" s="534" t="e">
        <f>'[8]IM M COLOC'!D52</f>
        <v>#REF!</v>
      </c>
      <c r="E51" s="534" t="e">
        <f>'[8]IM M COLOC'!E52</f>
        <v>#REF!</v>
      </c>
      <c r="F51" s="803" t="e">
        <f>C51*D51</f>
        <v>#REF!</v>
      </c>
      <c r="G51" s="589" t="e">
        <f>C51*E51</f>
        <v>#REF!</v>
      </c>
      <c r="H51" s="791" t="s">
        <v>24</v>
      </c>
      <c r="I51" s="687">
        <v>24.75</v>
      </c>
      <c r="J51" s="690">
        <f>C51*I51</f>
        <v>6101.37</v>
      </c>
      <c r="K51" s="687"/>
      <c r="L51" s="686"/>
      <c r="M51" s="686"/>
      <c r="N51" s="686"/>
      <c r="O51" s="686"/>
      <c r="P51" s="686"/>
      <c r="Q51" s="686"/>
      <c r="R51" s="778"/>
      <c r="S51" s="778"/>
    </row>
    <row r="52" spans="1:19" s="519" customFormat="1" ht="15.75" thickBot="1" x14ac:dyDescent="0.3">
      <c r="A52" s="565" t="s">
        <v>935</v>
      </c>
      <c r="B52" s="532" t="s">
        <v>936</v>
      </c>
      <c r="C52" s="533">
        <v>2014</v>
      </c>
      <c r="D52" s="534">
        <v>0.17</v>
      </c>
      <c r="E52" s="534">
        <v>0.17</v>
      </c>
      <c r="F52" s="803">
        <f>C52*D52</f>
        <v>342.38000000000005</v>
      </c>
      <c r="G52" s="589">
        <f>C52*E52</f>
        <v>342.38000000000005</v>
      </c>
      <c r="H52" s="791" t="s">
        <v>24</v>
      </c>
      <c r="I52" s="687"/>
      <c r="J52" s="687">
        <f>F52</f>
        <v>342.38000000000005</v>
      </c>
      <c r="K52" s="687"/>
      <c r="L52" s="686"/>
      <c r="M52" s="686"/>
      <c r="N52" s="686"/>
      <c r="O52" s="686"/>
      <c r="P52" s="686"/>
      <c r="Q52" s="686"/>
      <c r="R52" s="778"/>
      <c r="S52" s="778"/>
    </row>
    <row r="53" spans="1:19" s="540" customFormat="1" ht="15" x14ac:dyDescent="0.25">
      <c r="A53" s="544" t="s">
        <v>937</v>
      </c>
      <c r="B53" s="536"/>
      <c r="C53" s="538"/>
      <c r="D53" s="538"/>
      <c r="E53" s="538"/>
      <c r="F53" s="804" t="e">
        <f>SUM(F50:F52)</f>
        <v>#REF!</v>
      </c>
      <c r="G53" s="588" t="e">
        <f>SUM(G50:G52)</f>
        <v>#REF!</v>
      </c>
      <c r="H53" s="791" t="s">
        <v>24</v>
      </c>
      <c r="I53" s="690"/>
      <c r="J53" s="690">
        <f>SUM(J50:J52)</f>
        <v>6683.15</v>
      </c>
      <c r="K53" s="690"/>
      <c r="L53" s="691"/>
      <c r="M53" s="691"/>
      <c r="N53" s="691"/>
      <c r="O53" s="691"/>
      <c r="P53" s="691"/>
      <c r="Q53" s="691"/>
      <c r="R53" s="780"/>
      <c r="S53" s="780"/>
    </row>
    <row r="54" spans="1:19" s="549" customFormat="1" ht="15.75" thickBot="1" x14ac:dyDescent="0.3">
      <c r="A54" s="590" t="s">
        <v>938</v>
      </c>
      <c r="B54" s="546"/>
      <c r="C54" s="547"/>
      <c r="D54" s="547"/>
      <c r="E54" s="547"/>
      <c r="F54" s="801" t="e">
        <f>F48+F53</f>
        <v>#REF!</v>
      </c>
      <c r="G54" s="586" t="e">
        <f>G48+G53</f>
        <v>#REF!</v>
      </c>
      <c r="H54" s="791" t="s">
        <v>24</v>
      </c>
      <c r="I54" s="690"/>
      <c r="J54" s="690"/>
      <c r="K54" s="690"/>
      <c r="L54" s="686"/>
      <c r="M54" s="686"/>
      <c r="N54" s="686"/>
      <c r="O54" s="686"/>
      <c r="P54" s="686"/>
      <c r="Q54" s="686"/>
      <c r="R54" s="778"/>
      <c r="S54" s="778"/>
    </row>
    <row r="55" spans="1:19" s="519" customFormat="1" ht="15.75" thickBot="1" x14ac:dyDescent="0.3">
      <c r="A55" s="2305"/>
      <c r="B55" s="2306"/>
      <c r="C55" s="2306"/>
      <c r="D55" s="2306"/>
      <c r="E55" s="2306"/>
      <c r="F55" s="2306"/>
      <c r="G55" s="2307"/>
      <c r="H55" s="791" t="s">
        <v>24</v>
      </c>
      <c r="I55" s="687"/>
      <c r="J55" s="687"/>
      <c r="K55" s="687"/>
      <c r="L55" s="686"/>
      <c r="M55" s="686"/>
      <c r="N55" s="686"/>
      <c r="O55" s="686"/>
      <c r="P55" s="686"/>
      <c r="Q55" s="686"/>
      <c r="R55" s="778"/>
      <c r="S55" s="778"/>
    </row>
    <row r="56" spans="1:19" s="519" customFormat="1" ht="15" x14ac:dyDescent="0.25">
      <c r="A56" s="2331" t="s">
        <v>232</v>
      </c>
      <c r="B56" s="2332"/>
      <c r="C56" s="2332"/>
      <c r="D56" s="2332"/>
      <c r="E56" s="2340"/>
      <c r="F56" s="2341" t="s">
        <v>230</v>
      </c>
      <c r="G56" s="2334"/>
      <c r="H56" s="791" t="s">
        <v>24</v>
      </c>
      <c r="I56" s="687"/>
      <c r="J56" s="687"/>
      <c r="K56" s="687"/>
      <c r="L56" s="686"/>
      <c r="M56" s="686"/>
      <c r="N56" s="686"/>
      <c r="O56" s="686"/>
      <c r="P56" s="686"/>
      <c r="Q56" s="686"/>
      <c r="R56" s="778"/>
      <c r="S56" s="778"/>
    </row>
    <row r="57" spans="1:19" s="519" customFormat="1" ht="15.75" thickBot="1" x14ac:dyDescent="0.3">
      <c r="A57" s="2328"/>
      <c r="B57" s="2329"/>
      <c r="C57" s="2329"/>
      <c r="D57" s="2329"/>
      <c r="E57" s="2330"/>
      <c r="F57" s="2335"/>
      <c r="G57" s="2336"/>
      <c r="H57" s="791" t="s">
        <v>24</v>
      </c>
      <c r="I57" s="687"/>
      <c r="J57" s="687"/>
      <c r="K57" s="687"/>
      <c r="L57" s="686"/>
      <c r="M57" s="686"/>
      <c r="N57" s="686"/>
      <c r="O57" s="686"/>
      <c r="P57" s="686"/>
      <c r="Q57" s="686"/>
      <c r="R57" s="778"/>
      <c r="S57" s="778"/>
    </row>
    <row r="58" spans="1:19" s="519" customFormat="1" ht="15" x14ac:dyDescent="0.25">
      <c r="A58" s="2331" t="s">
        <v>946</v>
      </c>
      <c r="B58" s="2332"/>
      <c r="C58" s="2332"/>
      <c r="D58" s="2332"/>
      <c r="E58" s="2332"/>
      <c r="F58" s="2333">
        <f ca="1">TODAY()</f>
        <v>45398</v>
      </c>
      <c r="G58" s="2334"/>
      <c r="H58" s="791" t="s">
        <v>24</v>
      </c>
      <c r="I58" s="687"/>
      <c r="J58" s="687"/>
      <c r="K58" s="687"/>
      <c r="L58" s="686"/>
      <c r="M58" s="686"/>
      <c r="N58" s="686"/>
      <c r="O58" s="686"/>
      <c r="P58" s="686"/>
      <c r="Q58" s="686"/>
      <c r="R58" s="778"/>
      <c r="S58" s="778"/>
    </row>
    <row r="59" spans="1:19" s="519" customFormat="1" ht="21.75" customHeight="1" thickBot="1" x14ac:dyDescent="0.3">
      <c r="A59" s="2337"/>
      <c r="B59" s="2338"/>
      <c r="C59" s="2338"/>
      <c r="D59" s="2338"/>
      <c r="E59" s="2339"/>
      <c r="F59" s="2335"/>
      <c r="G59" s="2336"/>
      <c r="H59" s="791" t="s">
        <v>24</v>
      </c>
      <c r="I59" s="687"/>
      <c r="J59" s="687"/>
      <c r="K59" s="687"/>
      <c r="L59" s="686"/>
      <c r="M59" s="686"/>
      <c r="N59" s="686"/>
      <c r="O59" s="686"/>
      <c r="P59" s="686"/>
      <c r="Q59" s="686"/>
      <c r="R59" s="778"/>
      <c r="S59" s="778"/>
    </row>
    <row r="60" spans="1:19" s="549" customFormat="1" ht="15" x14ac:dyDescent="0.25">
      <c r="A60" s="2360" t="s">
        <v>229</v>
      </c>
      <c r="B60" s="2361"/>
      <c r="C60" s="2361"/>
      <c r="D60" s="2361"/>
      <c r="E60" s="2361"/>
      <c r="F60" s="2361"/>
      <c r="G60" s="2362"/>
      <c r="H60" s="792" t="s">
        <v>316</v>
      </c>
      <c r="I60" s="687"/>
      <c r="J60" s="687"/>
      <c r="K60" s="687"/>
      <c r="L60" s="686"/>
      <c r="M60" s="686"/>
      <c r="N60" s="686"/>
      <c r="O60" s="686"/>
      <c r="P60" s="686"/>
      <c r="Q60" s="686"/>
      <c r="R60" s="778"/>
      <c r="S60" s="778"/>
    </row>
    <row r="61" spans="1:19" s="549" customFormat="1" ht="17.25" customHeight="1" x14ac:dyDescent="0.25">
      <c r="A61" s="2311" t="s">
        <v>925</v>
      </c>
      <c r="B61" s="2312"/>
      <c r="C61" s="2312"/>
      <c r="D61" s="2312"/>
      <c r="E61" s="2312"/>
      <c r="F61" s="2312"/>
      <c r="G61" s="2313"/>
      <c r="H61" s="792" t="s">
        <v>316</v>
      </c>
      <c r="I61" s="687"/>
      <c r="J61" s="687"/>
      <c r="K61" s="687"/>
      <c r="L61" s="686"/>
      <c r="M61" s="686"/>
      <c r="N61" s="686"/>
      <c r="O61" s="686"/>
      <c r="P61" s="686"/>
      <c r="Q61" s="686"/>
      <c r="R61" s="778"/>
      <c r="S61" s="778"/>
    </row>
    <row r="62" spans="1:19" s="549" customFormat="1" ht="15" x14ac:dyDescent="0.25">
      <c r="A62" s="550" t="s">
        <v>28</v>
      </c>
      <c r="B62" s="2366"/>
      <c r="C62" s="2366"/>
      <c r="D62" s="551"/>
      <c r="E62" s="2367"/>
      <c r="F62" s="2367"/>
      <c r="G62" s="2368"/>
      <c r="H62" s="792" t="s">
        <v>316</v>
      </c>
      <c r="I62" s="687"/>
      <c r="J62" s="688"/>
      <c r="K62" s="687"/>
      <c r="L62" s="686"/>
      <c r="M62" s="686"/>
      <c r="N62" s="686"/>
      <c r="O62" s="686"/>
      <c r="P62" s="686"/>
      <c r="Q62" s="686"/>
      <c r="R62" s="778"/>
      <c r="S62" s="778"/>
    </row>
    <row r="63" spans="1:19" s="549" customFormat="1" ht="15.75" thickBot="1" x14ac:dyDescent="0.3">
      <c r="A63" s="2369"/>
      <c r="B63" s="2370"/>
      <c r="C63" s="2370"/>
      <c r="D63" s="2370"/>
      <c r="E63" s="2370"/>
      <c r="F63" s="2370"/>
      <c r="G63" s="2371"/>
      <c r="H63" s="792" t="s">
        <v>316</v>
      </c>
      <c r="I63" s="687"/>
      <c r="J63" s="687"/>
      <c r="K63" s="687"/>
      <c r="L63" s="686"/>
      <c r="M63" s="686"/>
      <c r="N63" s="686"/>
      <c r="O63" s="686"/>
      <c r="P63" s="686"/>
      <c r="Q63" s="686"/>
      <c r="R63" s="778"/>
      <c r="S63" s="778"/>
    </row>
    <row r="64" spans="1:19" s="549" customFormat="1" ht="20.25" customHeight="1" thickBot="1" x14ac:dyDescent="0.3">
      <c r="A64" s="2351" t="s">
        <v>926</v>
      </c>
      <c r="B64" s="2351" t="s">
        <v>226</v>
      </c>
      <c r="C64" s="2354" t="s">
        <v>927</v>
      </c>
      <c r="D64" s="2357" t="s">
        <v>227</v>
      </c>
      <c r="E64" s="2358"/>
      <c r="F64" s="2357" t="s">
        <v>928</v>
      </c>
      <c r="G64" s="2374"/>
      <c r="H64" s="792" t="s">
        <v>316</v>
      </c>
      <c r="I64" s="687"/>
      <c r="J64" s="687"/>
      <c r="K64" s="687"/>
      <c r="L64" s="686"/>
      <c r="M64" s="686"/>
      <c r="N64" s="686"/>
      <c r="O64" s="686"/>
      <c r="P64" s="686"/>
      <c r="Q64" s="686"/>
      <c r="R64" s="778"/>
      <c r="S64" s="778"/>
    </row>
    <row r="65" spans="1:19" s="549" customFormat="1" ht="19.5" customHeight="1" x14ac:dyDescent="0.25">
      <c r="A65" s="2352"/>
      <c r="B65" s="2352"/>
      <c r="C65" s="2355"/>
      <c r="D65" s="2375" t="s">
        <v>219</v>
      </c>
      <c r="E65" s="2349" t="s">
        <v>929</v>
      </c>
      <c r="F65" s="2301" t="s">
        <v>219</v>
      </c>
      <c r="G65" s="2349" t="s">
        <v>929</v>
      </c>
      <c r="H65" s="792" t="s">
        <v>316</v>
      </c>
      <c r="I65" s="687"/>
      <c r="J65" s="687"/>
      <c r="K65" s="687"/>
      <c r="L65" s="686"/>
      <c r="M65" s="686"/>
      <c r="N65" s="686"/>
      <c r="O65" s="686"/>
      <c r="P65" s="686"/>
      <c r="Q65" s="686"/>
      <c r="R65" s="778"/>
      <c r="S65" s="778"/>
    </row>
    <row r="66" spans="1:19" s="549" customFormat="1" ht="27" customHeight="1" thickBot="1" x14ac:dyDescent="0.3">
      <c r="A66" s="2353"/>
      <c r="B66" s="2353"/>
      <c r="C66" s="2356"/>
      <c r="D66" s="2376"/>
      <c r="E66" s="2350"/>
      <c r="F66" s="2302"/>
      <c r="G66" s="2350"/>
      <c r="H66" s="792" t="s">
        <v>316</v>
      </c>
      <c r="I66" s="687"/>
      <c r="J66" s="687"/>
      <c r="K66" s="687"/>
      <c r="L66" s="686"/>
      <c r="M66" s="686"/>
      <c r="N66" s="686"/>
      <c r="O66" s="686"/>
      <c r="P66" s="686"/>
      <c r="Q66" s="686"/>
      <c r="R66" s="778"/>
      <c r="S66" s="778"/>
    </row>
    <row r="67" spans="1:19" s="549" customFormat="1" ht="15.75" thickBot="1" x14ac:dyDescent="0.3">
      <c r="A67" s="552">
        <v>1</v>
      </c>
      <c r="B67" s="552">
        <v>2</v>
      </c>
      <c r="C67" s="552">
        <v>3</v>
      </c>
      <c r="D67" s="552">
        <v>4</v>
      </c>
      <c r="E67" s="552">
        <v>5</v>
      </c>
      <c r="F67" s="796">
        <v>6</v>
      </c>
      <c r="G67" s="552">
        <v>7</v>
      </c>
      <c r="H67" s="792" t="s">
        <v>316</v>
      </c>
      <c r="I67" s="685"/>
      <c r="J67" s="685"/>
      <c r="K67" s="685"/>
      <c r="L67" s="686"/>
      <c r="M67" s="686"/>
      <c r="N67" s="686"/>
      <c r="O67" s="686"/>
      <c r="P67" s="686"/>
      <c r="Q67" s="686"/>
      <c r="R67" s="778"/>
      <c r="S67" s="778"/>
    </row>
    <row r="68" spans="1:19" s="558" customFormat="1" ht="15.75" thickBot="1" x14ac:dyDescent="0.3">
      <c r="A68" s="553" t="s">
        <v>295</v>
      </c>
      <c r="B68" s="554" t="s">
        <v>940</v>
      </c>
      <c r="C68" s="555">
        <v>12</v>
      </c>
      <c r="D68" s="556">
        <v>68</v>
      </c>
      <c r="E68" s="556">
        <f>D68*0.4</f>
        <v>27.200000000000003</v>
      </c>
      <c r="F68" s="797">
        <f t="shared" ref="F68:F75" si="4">C68*D68</f>
        <v>816</v>
      </c>
      <c r="G68" s="557">
        <f>C68*E68</f>
        <v>326.40000000000003</v>
      </c>
      <c r="H68" s="792" t="s">
        <v>316</v>
      </c>
      <c r="I68" s="689"/>
      <c r="J68" s="689"/>
      <c r="K68" s="689"/>
      <c r="L68" s="689"/>
      <c r="M68" s="689"/>
      <c r="N68" s="689"/>
      <c r="O68" s="689"/>
      <c r="P68" s="689"/>
      <c r="Q68" s="689"/>
      <c r="R68" s="779"/>
      <c r="S68" s="779"/>
    </row>
    <row r="69" spans="1:19" s="564" customFormat="1" ht="15.75" thickBot="1" x14ac:dyDescent="0.3">
      <c r="A69" s="559" t="s">
        <v>941</v>
      </c>
      <c r="B69" s="560"/>
      <c r="C69" s="561"/>
      <c r="D69" s="562"/>
      <c r="E69" s="562"/>
      <c r="F69" s="797"/>
      <c r="G69" s="563"/>
      <c r="H69" s="792" t="s">
        <v>316</v>
      </c>
      <c r="I69" s="692"/>
      <c r="J69" s="692"/>
      <c r="K69" s="692"/>
      <c r="L69" s="692"/>
      <c r="M69" s="692"/>
      <c r="N69" s="692"/>
      <c r="O69" s="692"/>
      <c r="P69" s="692"/>
      <c r="Q69" s="692"/>
      <c r="R69" s="781"/>
      <c r="S69" s="781"/>
    </row>
    <row r="70" spans="1:19" s="564" customFormat="1" ht="15.75" thickBot="1" x14ac:dyDescent="0.3">
      <c r="A70" s="565" t="s">
        <v>942</v>
      </c>
      <c r="B70" s="560" t="s">
        <v>437</v>
      </c>
      <c r="C70" s="561">
        <v>0.8</v>
      </c>
      <c r="D70" s="566">
        <v>3000</v>
      </c>
      <c r="E70" s="562">
        <v>670</v>
      </c>
      <c r="F70" s="797">
        <f>C70*D70</f>
        <v>2400</v>
      </c>
      <c r="G70" s="557">
        <f t="shared" ref="G70:G75" si="5">C70*E70</f>
        <v>536</v>
      </c>
      <c r="H70" s="792" t="s">
        <v>316</v>
      </c>
      <c r="I70" s="692"/>
      <c r="J70" s="692"/>
      <c r="K70" s="692"/>
      <c r="L70" s="692"/>
      <c r="M70" s="692"/>
      <c r="N70" s="692"/>
      <c r="O70" s="692"/>
      <c r="P70" s="692"/>
      <c r="Q70" s="692"/>
      <c r="R70" s="781"/>
      <c r="S70" s="781"/>
    </row>
    <row r="71" spans="1:19" s="549" customFormat="1" ht="15.75" thickBot="1" x14ac:dyDescent="0.3">
      <c r="A71" s="565" t="s">
        <v>943</v>
      </c>
      <c r="B71" s="567" t="s">
        <v>638</v>
      </c>
      <c r="C71" s="568">
        <v>60</v>
      </c>
      <c r="D71" s="566">
        <v>8.9499999999999993</v>
      </c>
      <c r="E71" s="566">
        <f>D71*0.4</f>
        <v>3.58</v>
      </c>
      <c r="F71" s="797">
        <f t="shared" si="4"/>
        <v>537</v>
      </c>
      <c r="G71" s="557">
        <f t="shared" si="5"/>
        <v>214.8</v>
      </c>
      <c r="H71" s="792" t="s">
        <v>316</v>
      </c>
      <c r="I71" s="687"/>
      <c r="J71" s="690"/>
      <c r="K71" s="687"/>
      <c r="L71" s="686"/>
      <c r="M71" s="686"/>
      <c r="N71" s="686"/>
      <c r="O71" s="686"/>
      <c r="P71" s="686"/>
      <c r="Q71" s="686"/>
      <c r="R71" s="778"/>
      <c r="S71" s="778"/>
    </row>
    <row r="72" spans="1:19" s="549" customFormat="1" ht="15.75" thickBot="1" x14ac:dyDescent="0.3">
      <c r="A72" s="565" t="s">
        <v>439</v>
      </c>
      <c r="B72" s="567" t="s">
        <v>292</v>
      </c>
      <c r="C72" s="568">
        <v>3.74</v>
      </c>
      <c r="D72" s="566" t="e">
        <f>'[8]IM M XANT'!D44</f>
        <v>#REF!</v>
      </c>
      <c r="E72" s="566">
        <v>6.64</v>
      </c>
      <c r="F72" s="797" t="e">
        <f t="shared" si="4"/>
        <v>#REF!</v>
      </c>
      <c r="G72" s="557">
        <f t="shared" si="5"/>
        <v>24.833600000000001</v>
      </c>
      <c r="H72" s="792" t="s">
        <v>316</v>
      </c>
      <c r="I72" s="687"/>
      <c r="J72" s="690"/>
      <c r="K72" s="687"/>
      <c r="L72" s="686"/>
      <c r="M72" s="686"/>
      <c r="N72" s="686"/>
      <c r="O72" s="686"/>
      <c r="P72" s="686"/>
      <c r="Q72" s="686"/>
      <c r="R72" s="778"/>
      <c r="S72" s="778"/>
    </row>
    <row r="73" spans="1:19" s="549" customFormat="1" ht="15.75" thickBot="1" x14ac:dyDescent="0.3">
      <c r="A73" s="565" t="s">
        <v>462</v>
      </c>
      <c r="B73" s="567" t="s">
        <v>944</v>
      </c>
      <c r="C73" s="569">
        <v>0.66</v>
      </c>
      <c r="D73" s="566">
        <v>8.9499999999999993</v>
      </c>
      <c r="E73" s="566">
        <f>D73*0.4</f>
        <v>3.58</v>
      </c>
      <c r="F73" s="797">
        <f t="shared" si="4"/>
        <v>5.907</v>
      </c>
      <c r="G73" s="557">
        <f t="shared" si="5"/>
        <v>2.3628</v>
      </c>
      <c r="H73" s="792" t="s">
        <v>316</v>
      </c>
      <c r="I73" s="687"/>
      <c r="J73" s="690"/>
      <c r="K73" s="687"/>
      <c r="L73" s="686"/>
      <c r="M73" s="686"/>
      <c r="N73" s="686"/>
      <c r="O73" s="686"/>
      <c r="P73" s="686"/>
      <c r="Q73" s="686"/>
      <c r="R73" s="778"/>
      <c r="S73" s="778"/>
    </row>
    <row r="74" spans="1:19" s="549" customFormat="1" ht="15.75" thickBot="1" x14ac:dyDescent="0.3">
      <c r="A74" s="565" t="s">
        <v>945</v>
      </c>
      <c r="B74" s="567" t="s">
        <v>292</v>
      </c>
      <c r="C74" s="568">
        <v>1.5</v>
      </c>
      <c r="D74" s="566">
        <f>'[8]PRECIOS DE INSUMOS PLAGUICIDAS'!O102</f>
        <v>39</v>
      </c>
      <c r="E74" s="566">
        <v>8.65</v>
      </c>
      <c r="F74" s="797">
        <f t="shared" si="4"/>
        <v>58.5</v>
      </c>
      <c r="G74" s="557">
        <f t="shared" si="5"/>
        <v>12.975000000000001</v>
      </c>
      <c r="H74" s="792" t="s">
        <v>316</v>
      </c>
      <c r="I74" s="687"/>
      <c r="J74" s="690"/>
      <c r="K74" s="687"/>
      <c r="L74" s="686"/>
      <c r="M74" s="686"/>
      <c r="N74" s="686"/>
      <c r="O74" s="686"/>
      <c r="P74" s="686"/>
      <c r="Q74" s="686"/>
      <c r="R74" s="778"/>
      <c r="S74" s="778"/>
    </row>
    <row r="75" spans="1:19" s="549" customFormat="1" ht="15.75" thickBot="1" x14ac:dyDescent="0.3">
      <c r="A75" s="565" t="s">
        <v>469</v>
      </c>
      <c r="B75" s="567" t="s">
        <v>292</v>
      </c>
      <c r="C75" s="568">
        <v>1.5</v>
      </c>
      <c r="D75" s="566">
        <f>'[8]PRECIOS DE INSUMOS PLAGUICIDAS'!O48</f>
        <v>394</v>
      </c>
      <c r="E75" s="566">
        <v>9.77</v>
      </c>
      <c r="F75" s="797">
        <f t="shared" si="4"/>
        <v>591</v>
      </c>
      <c r="G75" s="557">
        <f t="shared" si="5"/>
        <v>14.654999999999999</v>
      </c>
      <c r="H75" s="792" t="s">
        <v>316</v>
      </c>
      <c r="I75" s="687"/>
      <c r="J75" s="690"/>
      <c r="K75" s="687"/>
      <c r="L75" s="686"/>
      <c r="M75" s="686"/>
      <c r="N75" s="686"/>
      <c r="O75" s="686"/>
      <c r="P75" s="686"/>
      <c r="Q75" s="686"/>
      <c r="R75" s="778"/>
      <c r="S75" s="778"/>
    </row>
    <row r="76" spans="1:19" s="575" customFormat="1" ht="15.75" thickBot="1" x14ac:dyDescent="0.3">
      <c r="A76" s="559" t="s">
        <v>931</v>
      </c>
      <c r="B76" s="570"/>
      <c r="C76" s="571"/>
      <c r="D76" s="572"/>
      <c r="E76" s="572"/>
      <c r="F76" s="805">
        <v>180</v>
      </c>
      <c r="G76" s="574">
        <v>30</v>
      </c>
      <c r="H76" s="792" t="s">
        <v>316</v>
      </c>
      <c r="I76" s="690"/>
      <c r="J76" s="690"/>
      <c r="K76" s="690"/>
      <c r="L76" s="691"/>
      <c r="M76" s="691"/>
      <c r="N76" s="691"/>
      <c r="O76" s="691"/>
      <c r="P76" s="691"/>
      <c r="Q76" s="691"/>
      <c r="R76" s="780"/>
      <c r="S76" s="780"/>
    </row>
    <row r="77" spans="1:19" s="575" customFormat="1" ht="15.75" thickBot="1" x14ac:dyDescent="0.3">
      <c r="A77" s="559" t="s">
        <v>932</v>
      </c>
      <c r="B77" s="570"/>
      <c r="C77" s="571"/>
      <c r="D77" s="572"/>
      <c r="E77" s="572"/>
      <c r="F77" s="804" t="e">
        <f>SUM(F68:F76)</f>
        <v>#REF!</v>
      </c>
      <c r="G77" s="572">
        <f>SUM(G68:G76)</f>
        <v>1162.0264</v>
      </c>
      <c r="H77" s="792" t="s">
        <v>316</v>
      </c>
      <c r="I77" s="690"/>
      <c r="J77" s="690"/>
      <c r="K77" s="690"/>
      <c r="L77" s="691"/>
      <c r="M77" s="691"/>
      <c r="N77" s="691"/>
      <c r="O77" s="691"/>
      <c r="P77" s="691"/>
      <c r="Q77" s="691"/>
      <c r="R77" s="780"/>
      <c r="S77" s="780"/>
    </row>
    <row r="78" spans="1:19" s="549" customFormat="1" ht="15.75" thickBot="1" x14ac:dyDescent="0.3">
      <c r="A78" s="559" t="s">
        <v>933</v>
      </c>
      <c r="B78" s="567"/>
      <c r="C78" s="568"/>
      <c r="D78" s="566"/>
      <c r="E78" s="566"/>
      <c r="F78" s="803"/>
      <c r="G78" s="576"/>
      <c r="H78" s="792" t="s">
        <v>316</v>
      </c>
      <c r="I78" s="687"/>
      <c r="J78" s="690"/>
      <c r="K78" s="687"/>
      <c r="L78" s="686"/>
      <c r="M78" s="686"/>
      <c r="N78" s="686"/>
      <c r="O78" s="686"/>
      <c r="P78" s="686"/>
      <c r="Q78" s="686"/>
      <c r="R78" s="778"/>
      <c r="S78" s="778"/>
    </row>
    <row r="79" spans="1:19" s="549" customFormat="1" ht="15.75" thickBot="1" x14ac:dyDescent="0.3">
      <c r="A79" s="565" t="s">
        <v>283</v>
      </c>
      <c r="B79" s="567" t="s">
        <v>934</v>
      </c>
      <c r="C79" s="568">
        <v>8.4</v>
      </c>
      <c r="D79" s="534">
        <v>18</v>
      </c>
      <c r="E79" s="534">
        <f>D79*0.4</f>
        <v>7.2</v>
      </c>
      <c r="F79" s="803">
        <f>C79*D79</f>
        <v>151.20000000000002</v>
      </c>
      <c r="G79" s="576">
        <f>C79*E79</f>
        <v>60.480000000000004</v>
      </c>
      <c r="H79" s="792" t="s">
        <v>316</v>
      </c>
      <c r="I79" s="687"/>
      <c r="J79" s="690"/>
      <c r="K79" s="687"/>
      <c r="L79" s="686"/>
      <c r="M79" s="686"/>
      <c r="N79" s="686"/>
      <c r="O79" s="686"/>
      <c r="P79" s="686"/>
      <c r="Q79" s="686"/>
      <c r="R79" s="778"/>
      <c r="S79" s="778"/>
    </row>
    <row r="80" spans="1:19" s="549" customFormat="1" ht="15.75" thickBot="1" x14ac:dyDescent="0.3">
      <c r="A80" s="565" t="s">
        <v>234</v>
      </c>
      <c r="B80" s="567" t="s">
        <v>638</v>
      </c>
      <c r="C80" s="568">
        <v>259.45</v>
      </c>
      <c r="D80" s="534" t="e">
        <f>'[8]MAT. VIANDA'!D50</f>
        <v>#REF!</v>
      </c>
      <c r="E80" s="534" t="e">
        <f>'[8]MAT. VIANDA'!E50</f>
        <v>#REF!</v>
      </c>
      <c r="F80" s="803" t="e">
        <f>C80*D80</f>
        <v>#REF!</v>
      </c>
      <c r="G80" s="576" t="e">
        <f>C80*E80</f>
        <v>#REF!</v>
      </c>
      <c r="H80" s="792" t="s">
        <v>316</v>
      </c>
      <c r="I80" s="687">
        <v>24.75</v>
      </c>
      <c r="J80" s="690">
        <f>C80*I80</f>
        <v>6421.3874999999998</v>
      </c>
      <c r="K80" s="687"/>
      <c r="L80" s="686"/>
      <c r="M80" s="686"/>
      <c r="N80" s="686"/>
      <c r="O80" s="686"/>
      <c r="P80" s="686"/>
      <c r="Q80" s="686"/>
      <c r="R80" s="778"/>
      <c r="S80" s="778"/>
    </row>
    <row r="81" spans="1:19" s="549" customFormat="1" ht="15.75" thickBot="1" x14ac:dyDescent="0.3">
      <c r="A81" s="565" t="s">
        <v>935</v>
      </c>
      <c r="B81" s="567" t="s">
        <v>936</v>
      </c>
      <c r="C81" s="568">
        <v>1166</v>
      </c>
      <c r="D81" s="577">
        <v>0.17</v>
      </c>
      <c r="E81" s="577">
        <f>D81*0.4</f>
        <v>6.8000000000000005E-2</v>
      </c>
      <c r="F81" s="803">
        <f>C81*D81</f>
        <v>198.22000000000003</v>
      </c>
      <c r="G81" s="576">
        <f>C81*E81</f>
        <v>79.288000000000011</v>
      </c>
      <c r="H81" s="792" t="s">
        <v>316</v>
      </c>
      <c r="I81" s="687"/>
      <c r="J81" s="687"/>
      <c r="K81" s="687"/>
      <c r="L81" s="686"/>
      <c r="M81" s="686"/>
      <c r="N81" s="686"/>
      <c r="O81" s="686"/>
      <c r="P81" s="686"/>
      <c r="Q81" s="686"/>
      <c r="R81" s="778"/>
      <c r="S81" s="778"/>
    </row>
    <row r="82" spans="1:19" s="575" customFormat="1" ht="15.75" thickBot="1" x14ac:dyDescent="0.3">
      <c r="A82" s="578" t="s">
        <v>937</v>
      </c>
      <c r="B82" s="579"/>
      <c r="C82" s="580"/>
      <c r="D82" s="580"/>
      <c r="E82" s="580"/>
      <c r="F82" s="804" t="e">
        <f>SUM(F79:F81)</f>
        <v>#REF!</v>
      </c>
      <c r="G82" s="581" t="e">
        <f>SUM(G79:G81)</f>
        <v>#REF!</v>
      </c>
      <c r="H82" s="792" t="s">
        <v>316</v>
      </c>
      <c r="I82" s="690"/>
      <c r="J82" s="690"/>
      <c r="K82" s="690"/>
      <c r="L82" s="691"/>
      <c r="M82" s="691"/>
      <c r="N82" s="691"/>
      <c r="O82" s="691"/>
      <c r="P82" s="691"/>
      <c r="Q82" s="691"/>
      <c r="R82" s="780"/>
      <c r="S82" s="780"/>
    </row>
    <row r="83" spans="1:19" s="575" customFormat="1" ht="15.75" thickBot="1" x14ac:dyDescent="0.3">
      <c r="A83" s="582" t="s">
        <v>938</v>
      </c>
      <c r="B83" s="583"/>
      <c r="C83" s="584"/>
      <c r="D83" s="584"/>
      <c r="E83" s="585"/>
      <c r="F83" s="806" t="e">
        <f>F77+F82</f>
        <v>#REF!</v>
      </c>
      <c r="G83" s="586" t="e">
        <f>G77+G82</f>
        <v>#REF!</v>
      </c>
      <c r="H83" s="792" t="s">
        <v>316</v>
      </c>
      <c r="I83" s="690"/>
      <c r="J83" s="690"/>
      <c r="K83" s="690"/>
      <c r="L83" s="691"/>
      <c r="M83" s="691"/>
      <c r="N83" s="691"/>
      <c r="O83" s="691"/>
      <c r="P83" s="691"/>
      <c r="Q83" s="691"/>
      <c r="R83" s="780"/>
      <c r="S83" s="780"/>
    </row>
    <row r="84" spans="1:19" s="549" customFormat="1" ht="15.75" thickBot="1" x14ac:dyDescent="0.3">
      <c r="A84" s="2386"/>
      <c r="B84" s="2387"/>
      <c r="C84" s="2387"/>
      <c r="D84" s="2387"/>
      <c r="E84" s="2387"/>
      <c r="F84" s="2387"/>
      <c r="G84" s="2388"/>
      <c r="H84" s="792" t="s">
        <v>316</v>
      </c>
      <c r="I84" s="687"/>
      <c r="J84" s="687"/>
      <c r="K84" s="687"/>
      <c r="L84" s="686"/>
      <c r="M84" s="686"/>
      <c r="N84" s="686"/>
      <c r="O84" s="686"/>
      <c r="P84" s="686"/>
      <c r="Q84" s="686"/>
      <c r="R84" s="778"/>
      <c r="S84" s="778"/>
    </row>
    <row r="85" spans="1:19" s="549" customFormat="1" ht="15" x14ac:dyDescent="0.25">
      <c r="A85" s="2377" t="s">
        <v>232</v>
      </c>
      <c r="B85" s="2378"/>
      <c r="C85" s="2378"/>
      <c r="D85" s="2378"/>
      <c r="E85" s="2381"/>
      <c r="F85" s="2382" t="s">
        <v>230</v>
      </c>
      <c r="G85" s="2380"/>
      <c r="H85" s="792" t="s">
        <v>316</v>
      </c>
      <c r="I85" s="687"/>
      <c r="J85" s="687"/>
      <c r="K85" s="687"/>
      <c r="L85" s="686"/>
      <c r="M85" s="686"/>
      <c r="N85" s="686"/>
      <c r="O85" s="686"/>
      <c r="P85" s="686"/>
      <c r="Q85" s="686"/>
      <c r="R85" s="778"/>
      <c r="S85" s="778"/>
    </row>
    <row r="86" spans="1:19" s="549" customFormat="1" ht="15.75" thickBot="1" x14ac:dyDescent="0.3">
      <c r="A86" s="2383"/>
      <c r="B86" s="2384"/>
      <c r="C86" s="2384"/>
      <c r="D86" s="2384"/>
      <c r="E86" s="2385"/>
      <c r="F86" s="2335"/>
      <c r="G86" s="2336"/>
      <c r="H86" s="792" t="s">
        <v>316</v>
      </c>
      <c r="I86" s="687"/>
      <c r="J86" s="687"/>
      <c r="K86" s="687"/>
      <c r="L86" s="686"/>
      <c r="M86" s="686"/>
      <c r="N86" s="686"/>
      <c r="O86" s="686"/>
      <c r="P86" s="686"/>
      <c r="Q86" s="686"/>
      <c r="R86" s="778"/>
      <c r="S86" s="778"/>
    </row>
    <row r="87" spans="1:19" s="549" customFormat="1" ht="15" x14ac:dyDescent="0.25">
      <c r="A87" s="2377" t="s">
        <v>946</v>
      </c>
      <c r="B87" s="2378"/>
      <c r="C87" s="2378"/>
      <c r="D87" s="2378"/>
      <c r="E87" s="2378"/>
      <c r="F87" s="2379">
        <f ca="1">TODAY()</f>
        <v>45398</v>
      </c>
      <c r="G87" s="2380"/>
      <c r="H87" s="792" t="s">
        <v>316</v>
      </c>
      <c r="I87" s="687"/>
      <c r="J87" s="687"/>
      <c r="K87" s="687"/>
      <c r="L87" s="686"/>
      <c r="M87" s="686"/>
      <c r="N87" s="686"/>
      <c r="O87" s="686"/>
      <c r="P87" s="686"/>
      <c r="Q87" s="686"/>
      <c r="R87" s="778"/>
      <c r="S87" s="778"/>
    </row>
    <row r="88" spans="1:19" s="549" customFormat="1" ht="18" customHeight="1" thickBot="1" x14ac:dyDescent="0.3">
      <c r="A88" s="2337"/>
      <c r="B88" s="2338"/>
      <c r="C88" s="2338"/>
      <c r="D88" s="2338"/>
      <c r="E88" s="2339"/>
      <c r="F88" s="2335"/>
      <c r="G88" s="2336"/>
      <c r="H88" s="792" t="s">
        <v>316</v>
      </c>
      <c r="I88" s="687"/>
      <c r="J88" s="687"/>
      <c r="K88" s="687"/>
      <c r="L88" s="686"/>
      <c r="M88" s="686"/>
      <c r="N88" s="686"/>
      <c r="O88" s="686"/>
      <c r="P88" s="686"/>
      <c r="Q88" s="686"/>
      <c r="R88" s="778"/>
      <c r="S88" s="778"/>
    </row>
    <row r="89" spans="1:19" s="549" customFormat="1" ht="15" x14ac:dyDescent="0.25">
      <c r="A89" s="2360" t="s">
        <v>229</v>
      </c>
      <c r="B89" s="2361"/>
      <c r="C89" s="2361"/>
      <c r="D89" s="2361"/>
      <c r="E89" s="2361"/>
      <c r="F89" s="2361"/>
      <c r="G89" s="2362"/>
      <c r="H89" s="792" t="s">
        <v>631</v>
      </c>
      <c r="I89" s="686"/>
      <c r="J89" s="686"/>
      <c r="K89" s="686"/>
      <c r="L89" s="686"/>
      <c r="M89" s="686"/>
      <c r="N89" s="686"/>
      <c r="O89" s="686"/>
      <c r="P89" s="686"/>
      <c r="Q89" s="686"/>
      <c r="R89" s="778"/>
      <c r="S89" s="778"/>
    </row>
    <row r="90" spans="1:19" s="549" customFormat="1" ht="17.25" customHeight="1" x14ac:dyDescent="0.25">
      <c r="A90" s="2311" t="s">
        <v>925</v>
      </c>
      <c r="B90" s="2312"/>
      <c r="C90" s="2312"/>
      <c r="D90" s="2312"/>
      <c r="E90" s="2312"/>
      <c r="F90" s="2312"/>
      <c r="G90" s="2313"/>
      <c r="H90" s="792" t="s">
        <v>631</v>
      </c>
      <c r="I90" s="686"/>
      <c r="J90" s="686"/>
      <c r="K90" s="686"/>
      <c r="L90" s="686"/>
      <c r="M90" s="686"/>
      <c r="N90" s="686"/>
      <c r="O90" s="686"/>
      <c r="P90" s="686"/>
      <c r="Q90" s="686"/>
      <c r="R90" s="778"/>
      <c r="S90" s="778"/>
    </row>
    <row r="91" spans="1:19" s="549" customFormat="1" ht="15" x14ac:dyDescent="0.25">
      <c r="A91" s="2372" t="s">
        <v>947</v>
      </c>
      <c r="B91" s="2373"/>
      <c r="C91" s="2373"/>
      <c r="D91" s="2373"/>
      <c r="E91" s="2367"/>
      <c r="F91" s="2367"/>
      <c r="G91" s="2368"/>
      <c r="H91" s="792" t="s">
        <v>631</v>
      </c>
      <c r="I91" s="686"/>
      <c r="J91" s="693"/>
      <c r="K91" s="686"/>
      <c r="L91" s="686"/>
      <c r="M91" s="686"/>
      <c r="N91" s="686"/>
      <c r="O91" s="686"/>
      <c r="P91" s="686"/>
      <c r="Q91" s="686"/>
      <c r="R91" s="778"/>
      <c r="S91" s="778"/>
    </row>
    <row r="92" spans="1:19" s="549" customFormat="1" ht="15.75" thickBot="1" x14ac:dyDescent="0.3">
      <c r="A92" s="2369"/>
      <c r="B92" s="2370"/>
      <c r="C92" s="2370"/>
      <c r="D92" s="2370"/>
      <c r="E92" s="2370"/>
      <c r="F92" s="2370"/>
      <c r="G92" s="2371"/>
      <c r="H92" s="792" t="s">
        <v>631</v>
      </c>
      <c r="I92" s="686"/>
      <c r="J92" s="686"/>
      <c r="K92" s="686"/>
      <c r="L92" s="686"/>
      <c r="M92" s="686"/>
      <c r="N92" s="686"/>
      <c r="O92" s="686"/>
      <c r="P92" s="686"/>
      <c r="Q92" s="686"/>
      <c r="R92" s="778"/>
      <c r="S92" s="778"/>
    </row>
    <row r="93" spans="1:19" s="549" customFormat="1" ht="13.5" customHeight="1" thickBot="1" x14ac:dyDescent="0.3">
      <c r="A93" s="2351" t="s">
        <v>926</v>
      </c>
      <c r="B93" s="2351" t="s">
        <v>226</v>
      </c>
      <c r="C93" s="2354" t="s">
        <v>948</v>
      </c>
      <c r="D93" s="2357" t="s">
        <v>227</v>
      </c>
      <c r="E93" s="2358"/>
      <c r="F93" s="2357" t="s">
        <v>928</v>
      </c>
      <c r="G93" s="2374"/>
      <c r="H93" s="792" t="s">
        <v>631</v>
      </c>
      <c r="I93" s="686"/>
      <c r="J93" s="686"/>
      <c r="K93" s="686"/>
      <c r="L93" s="686"/>
      <c r="M93" s="686"/>
      <c r="N93" s="686"/>
      <c r="O93" s="686"/>
      <c r="P93" s="686"/>
      <c r="Q93" s="686"/>
      <c r="R93" s="778"/>
      <c r="S93" s="778"/>
    </row>
    <row r="94" spans="1:19" s="549" customFormat="1" ht="19.5" customHeight="1" x14ac:dyDescent="0.25">
      <c r="A94" s="2352"/>
      <c r="B94" s="2352"/>
      <c r="C94" s="2355"/>
      <c r="D94" s="2375" t="s">
        <v>219</v>
      </c>
      <c r="E94" s="2349" t="s">
        <v>929</v>
      </c>
      <c r="F94" s="2301" t="s">
        <v>219</v>
      </c>
      <c r="G94" s="2349" t="s">
        <v>929</v>
      </c>
      <c r="H94" s="792" t="s">
        <v>631</v>
      </c>
      <c r="I94" s="687"/>
      <c r="J94" s="687"/>
      <c r="K94" s="687"/>
      <c r="L94" s="686"/>
      <c r="M94" s="686"/>
      <c r="N94" s="686"/>
      <c r="O94" s="686"/>
      <c r="P94" s="686"/>
      <c r="Q94" s="686"/>
      <c r="R94" s="778"/>
      <c r="S94" s="778"/>
    </row>
    <row r="95" spans="1:19" s="549" customFormat="1" ht="26.25" customHeight="1" thickBot="1" x14ac:dyDescent="0.3">
      <c r="A95" s="2353"/>
      <c r="B95" s="2353"/>
      <c r="C95" s="2356"/>
      <c r="D95" s="2376"/>
      <c r="E95" s="2350"/>
      <c r="F95" s="2302"/>
      <c r="G95" s="2350"/>
      <c r="H95" s="792" t="s">
        <v>631</v>
      </c>
      <c r="I95" s="686"/>
      <c r="J95" s="686"/>
      <c r="K95" s="686"/>
      <c r="L95" s="686"/>
      <c r="M95" s="686"/>
      <c r="N95" s="686"/>
      <c r="O95" s="686"/>
      <c r="P95" s="686"/>
      <c r="Q95" s="686"/>
      <c r="R95" s="778"/>
      <c r="S95" s="778"/>
    </row>
    <row r="96" spans="1:19" s="549" customFormat="1" ht="15.75" thickBot="1" x14ac:dyDescent="0.3">
      <c r="A96" s="552">
        <v>1</v>
      </c>
      <c r="B96" s="552">
        <v>2</v>
      </c>
      <c r="C96" s="552">
        <v>3</v>
      </c>
      <c r="D96" s="552">
        <v>4</v>
      </c>
      <c r="E96" s="552">
        <v>5</v>
      </c>
      <c r="F96" s="796">
        <v>6</v>
      </c>
      <c r="G96" s="552">
        <v>7</v>
      </c>
      <c r="H96" s="792" t="s">
        <v>631</v>
      </c>
      <c r="I96" s="693"/>
      <c r="J96" s="693"/>
      <c r="K96" s="693"/>
      <c r="L96" s="686"/>
      <c r="M96" s="686"/>
      <c r="N96" s="686"/>
      <c r="O96" s="686"/>
      <c r="P96" s="686"/>
      <c r="Q96" s="686"/>
      <c r="R96" s="778"/>
      <c r="S96" s="778"/>
    </row>
    <row r="97" spans="1:19" s="558" customFormat="1" ht="15.75" thickBot="1" x14ac:dyDescent="0.3">
      <c r="A97" s="553" t="s">
        <v>295</v>
      </c>
      <c r="B97" s="554" t="s">
        <v>949</v>
      </c>
      <c r="C97" s="555">
        <v>38330</v>
      </c>
      <c r="D97" s="556" t="e">
        <f>'[8]MAT. P. FRUTA'!D98</f>
        <v>#REF!</v>
      </c>
      <c r="E97" s="556" t="e">
        <f>D97*0.4</f>
        <v>#REF!</v>
      </c>
      <c r="F97" s="797" t="e">
        <f>C97*D97</f>
        <v>#REF!</v>
      </c>
      <c r="G97" s="576" t="e">
        <f t="shared" ref="G97:G103" si="6">C97*E97</f>
        <v>#REF!</v>
      </c>
      <c r="H97" s="792" t="s">
        <v>631</v>
      </c>
      <c r="I97" s="689"/>
      <c r="J97" s="689"/>
      <c r="K97" s="689"/>
      <c r="L97" s="689"/>
      <c r="M97" s="689"/>
      <c r="N97" s="689"/>
      <c r="O97" s="689"/>
      <c r="P97" s="689"/>
      <c r="Q97" s="689"/>
      <c r="R97" s="779"/>
      <c r="S97" s="779"/>
    </row>
    <row r="98" spans="1:19" s="549" customFormat="1" ht="15.75" thickBot="1" x14ac:dyDescent="0.3">
      <c r="A98" s="565" t="s">
        <v>950</v>
      </c>
      <c r="B98" s="567" t="s">
        <v>292</v>
      </c>
      <c r="C98" s="568">
        <v>4</v>
      </c>
      <c r="D98" s="566" t="e">
        <f>'[8]PRECIOS DE INSUMOS PLAGUICIDAS'!O192</f>
        <v>#REF!</v>
      </c>
      <c r="E98" s="566">
        <v>8.34</v>
      </c>
      <c r="F98" s="803" t="e">
        <f t="shared" ref="F98:F103" si="7">C98*D98</f>
        <v>#REF!</v>
      </c>
      <c r="G98" s="576">
        <f t="shared" si="6"/>
        <v>33.36</v>
      </c>
      <c r="H98" s="792" t="s">
        <v>631</v>
      </c>
      <c r="I98" s="687"/>
      <c r="J98" s="690"/>
      <c r="K98" s="686"/>
      <c r="L98" s="686"/>
      <c r="M98" s="686"/>
      <c r="N98" s="686"/>
      <c r="O98" s="686"/>
      <c r="P98" s="686"/>
      <c r="Q98" s="686"/>
      <c r="R98" s="778"/>
      <c r="S98" s="778"/>
    </row>
    <row r="99" spans="1:19" s="549" customFormat="1" ht="15.75" thickBot="1" x14ac:dyDescent="0.3">
      <c r="A99" s="565" t="s">
        <v>286</v>
      </c>
      <c r="B99" s="567" t="s">
        <v>292</v>
      </c>
      <c r="C99" s="568">
        <v>8</v>
      </c>
      <c r="D99" s="566" t="e">
        <f>'[8]PRECIOS DE INSUMOS PLAGUICIDAS'!O201</f>
        <v>#REF!</v>
      </c>
      <c r="E99" s="566">
        <v>3.8</v>
      </c>
      <c r="F99" s="803" t="e">
        <f t="shared" si="7"/>
        <v>#REF!</v>
      </c>
      <c r="G99" s="576">
        <f t="shared" si="6"/>
        <v>30.4</v>
      </c>
      <c r="H99" s="792" t="s">
        <v>631</v>
      </c>
      <c r="I99" s="687"/>
      <c r="J99" s="690"/>
      <c r="K99" s="686"/>
      <c r="L99" s="686"/>
      <c r="M99" s="686"/>
      <c r="N99" s="686"/>
      <c r="O99" s="686"/>
      <c r="P99" s="686"/>
      <c r="Q99" s="686"/>
      <c r="R99" s="778"/>
      <c r="S99" s="778"/>
    </row>
    <row r="100" spans="1:19" s="549" customFormat="1" ht="15.75" thickBot="1" x14ac:dyDescent="0.3">
      <c r="A100" s="559" t="s">
        <v>450</v>
      </c>
      <c r="B100" s="567" t="s">
        <v>292</v>
      </c>
      <c r="C100" s="568">
        <v>8</v>
      </c>
      <c r="D100" s="566" t="e">
        <f>'[8]PRECIOS DE INSUMOS PLAGUICIDAS'!O195</f>
        <v>#REF!</v>
      </c>
      <c r="E100" s="566">
        <v>9.9700000000000006</v>
      </c>
      <c r="F100" s="803" t="e">
        <f t="shared" si="7"/>
        <v>#REF!</v>
      </c>
      <c r="G100" s="576">
        <f t="shared" si="6"/>
        <v>79.760000000000005</v>
      </c>
      <c r="H100" s="792" t="s">
        <v>631</v>
      </c>
      <c r="I100" s="687"/>
      <c r="J100" s="690"/>
      <c r="K100" s="686"/>
      <c r="L100" s="686"/>
      <c r="M100" s="686"/>
      <c r="N100" s="686"/>
      <c r="O100" s="686"/>
      <c r="P100" s="686"/>
      <c r="Q100" s="686"/>
      <c r="R100" s="778"/>
      <c r="S100" s="778"/>
    </row>
    <row r="101" spans="1:19" s="549" customFormat="1" ht="15.75" thickBot="1" x14ac:dyDescent="0.3">
      <c r="A101" s="565" t="s">
        <v>951</v>
      </c>
      <c r="B101" s="567" t="s">
        <v>292</v>
      </c>
      <c r="C101" s="568">
        <v>2.5</v>
      </c>
      <c r="D101" s="566" t="e">
        <f>'[8]MAT. P. FRUTA'!D104</f>
        <v>#REF!</v>
      </c>
      <c r="E101" s="566">
        <v>6.38</v>
      </c>
      <c r="F101" s="803" t="e">
        <f t="shared" si="7"/>
        <v>#REF!</v>
      </c>
      <c r="G101" s="576">
        <f t="shared" si="6"/>
        <v>15.95</v>
      </c>
      <c r="H101" s="792" t="s">
        <v>631</v>
      </c>
      <c r="I101" s="687"/>
      <c r="J101" s="690"/>
      <c r="K101" s="686"/>
      <c r="L101" s="686"/>
      <c r="M101" s="686"/>
      <c r="N101" s="686"/>
      <c r="O101" s="686"/>
      <c r="P101" s="686"/>
      <c r="Q101" s="686"/>
      <c r="R101" s="778"/>
      <c r="S101" s="778"/>
    </row>
    <row r="102" spans="1:19" s="549" customFormat="1" ht="15.75" thickBot="1" x14ac:dyDescent="0.3">
      <c r="A102" s="565" t="s">
        <v>284</v>
      </c>
      <c r="B102" s="567" t="s">
        <v>437</v>
      </c>
      <c r="C102" s="568">
        <v>1</v>
      </c>
      <c r="D102" s="534">
        <f>FERTILIZANTES!S$63</f>
        <v>3000</v>
      </c>
      <c r="E102" s="566">
        <v>490</v>
      </c>
      <c r="F102" s="803">
        <f t="shared" si="7"/>
        <v>3000</v>
      </c>
      <c r="G102" s="576">
        <f t="shared" si="6"/>
        <v>490</v>
      </c>
      <c r="H102" s="792" t="s">
        <v>631</v>
      </c>
      <c r="I102" s="687"/>
      <c r="J102" s="690"/>
      <c r="K102" s="686"/>
      <c r="L102" s="686"/>
      <c r="M102" s="686"/>
      <c r="N102" s="686"/>
      <c r="O102" s="686"/>
      <c r="P102" s="686"/>
      <c r="Q102" s="686"/>
      <c r="R102" s="778"/>
      <c r="S102" s="778"/>
    </row>
    <row r="103" spans="1:19" s="549" customFormat="1" ht="15.75" thickBot="1" x14ac:dyDescent="0.3">
      <c r="A103" s="559" t="s">
        <v>954</v>
      </c>
      <c r="B103" s="567" t="s">
        <v>437</v>
      </c>
      <c r="C103" s="568">
        <v>3</v>
      </c>
      <c r="D103" s="566" t="e">
        <f>'[8]MAT. P. FRUTA'!D100</f>
        <v>#REF!</v>
      </c>
      <c r="E103" s="566">
        <f>[9]Importación!$I$141</f>
        <v>663.78500000000008</v>
      </c>
      <c r="F103" s="803" t="e">
        <f t="shared" si="7"/>
        <v>#REF!</v>
      </c>
      <c r="G103" s="576">
        <f t="shared" si="6"/>
        <v>1991.3550000000002</v>
      </c>
      <c r="H103" s="792" t="s">
        <v>631</v>
      </c>
      <c r="I103" s="687"/>
      <c r="J103" s="690"/>
      <c r="K103" s="686"/>
      <c r="L103" s="686"/>
      <c r="M103" s="686"/>
      <c r="N103" s="686"/>
      <c r="O103" s="686"/>
      <c r="P103" s="686"/>
      <c r="Q103" s="686"/>
      <c r="R103" s="778"/>
      <c r="S103" s="778"/>
    </row>
    <row r="104" spans="1:19" s="549" customFormat="1" ht="15.75" thickBot="1" x14ac:dyDescent="0.3">
      <c r="A104" s="559" t="s">
        <v>952</v>
      </c>
      <c r="B104" s="567"/>
      <c r="C104" s="568"/>
      <c r="D104" s="566"/>
      <c r="E104" s="566"/>
      <c r="F104" s="807">
        <v>210</v>
      </c>
      <c r="G104" s="576">
        <v>40</v>
      </c>
      <c r="H104" s="792" t="s">
        <v>631</v>
      </c>
      <c r="I104" s="687"/>
      <c r="J104" s="687"/>
      <c r="K104" s="687"/>
      <c r="L104" s="686"/>
      <c r="M104" s="686"/>
      <c r="N104" s="686"/>
      <c r="O104" s="686"/>
      <c r="P104" s="686"/>
      <c r="Q104" s="686"/>
      <c r="R104" s="778"/>
      <c r="S104" s="778"/>
    </row>
    <row r="105" spans="1:19" s="575" customFormat="1" ht="15.75" thickBot="1" x14ac:dyDescent="0.3">
      <c r="A105" s="559" t="s">
        <v>932</v>
      </c>
      <c r="B105" s="570"/>
      <c r="C105" s="571"/>
      <c r="D105" s="572"/>
      <c r="E105" s="572"/>
      <c r="F105" s="808" t="e">
        <f>SUM(F97:F104)</f>
        <v>#REF!</v>
      </c>
      <c r="G105" s="581" t="e">
        <f>SUM(G97:G104)</f>
        <v>#REF!</v>
      </c>
      <c r="H105" s="792" t="s">
        <v>631</v>
      </c>
      <c r="I105" s="690"/>
      <c r="J105" s="690"/>
      <c r="K105" s="691"/>
      <c r="L105" s="691"/>
      <c r="M105" s="691"/>
      <c r="N105" s="691"/>
      <c r="O105" s="691"/>
      <c r="P105" s="691"/>
      <c r="Q105" s="691"/>
      <c r="R105" s="780"/>
      <c r="S105" s="780"/>
    </row>
    <row r="106" spans="1:19" s="575" customFormat="1" ht="15.75" thickBot="1" x14ac:dyDescent="0.3">
      <c r="A106" s="559" t="s">
        <v>933</v>
      </c>
      <c r="B106" s="570"/>
      <c r="C106" s="571"/>
      <c r="D106" s="572"/>
      <c r="E106" s="572"/>
      <c r="F106" s="804"/>
      <c r="G106" s="572"/>
      <c r="H106" s="792" t="s">
        <v>631</v>
      </c>
      <c r="I106" s="690"/>
      <c r="J106" s="690"/>
      <c r="K106" s="691"/>
      <c r="L106" s="691"/>
      <c r="M106" s="691"/>
      <c r="N106" s="691"/>
      <c r="O106" s="691"/>
      <c r="P106" s="691"/>
      <c r="Q106" s="691"/>
      <c r="R106" s="780"/>
      <c r="S106" s="780"/>
    </row>
    <row r="107" spans="1:19" s="549" customFormat="1" ht="15.75" thickBot="1" x14ac:dyDescent="0.3">
      <c r="A107" s="565" t="s">
        <v>283</v>
      </c>
      <c r="B107" s="567" t="s">
        <v>934</v>
      </c>
      <c r="C107" s="568">
        <v>19.95</v>
      </c>
      <c r="D107" s="534">
        <v>18</v>
      </c>
      <c r="E107" s="534">
        <f>D107*0.4</f>
        <v>7.2</v>
      </c>
      <c r="F107" s="803">
        <f>C107*D107</f>
        <v>359.09999999999997</v>
      </c>
      <c r="G107" s="576">
        <f>C107*E107</f>
        <v>143.63999999999999</v>
      </c>
      <c r="H107" s="792" t="s">
        <v>631</v>
      </c>
      <c r="I107" s="687"/>
      <c r="J107" s="690"/>
      <c r="K107" s="686"/>
      <c r="L107" s="686"/>
      <c r="M107" s="686"/>
      <c r="N107" s="686"/>
      <c r="O107" s="686"/>
      <c r="P107" s="686"/>
      <c r="Q107" s="686"/>
      <c r="R107" s="778"/>
      <c r="S107" s="778"/>
    </row>
    <row r="108" spans="1:19" s="549" customFormat="1" ht="15.75" thickBot="1" x14ac:dyDescent="0.3">
      <c r="A108" s="565" t="s">
        <v>234</v>
      </c>
      <c r="B108" s="567" t="s">
        <v>638</v>
      </c>
      <c r="C108" s="568">
        <v>316.16000000000003</v>
      </c>
      <c r="D108" s="534" t="e">
        <f>'[8]MAT. P. FRUTA'!D111</f>
        <v>#REF!</v>
      </c>
      <c r="E108" s="534" t="e">
        <f>'[8]MAT. P. FRUTA'!E111</f>
        <v>#REF!</v>
      </c>
      <c r="F108" s="803" t="e">
        <f>C108*D108</f>
        <v>#REF!</v>
      </c>
      <c r="G108" s="576" t="e">
        <f>C108*E108</f>
        <v>#REF!</v>
      </c>
      <c r="H108" s="792" t="s">
        <v>631</v>
      </c>
      <c r="I108" s="687">
        <v>24.75</v>
      </c>
      <c r="J108" s="690">
        <f>C108*I108</f>
        <v>7824.9600000000009</v>
      </c>
      <c r="K108" s="686"/>
      <c r="L108" s="686"/>
      <c r="M108" s="686"/>
      <c r="N108" s="686"/>
      <c r="O108" s="686"/>
      <c r="P108" s="686"/>
      <c r="Q108" s="686"/>
      <c r="R108" s="778"/>
      <c r="S108" s="778"/>
    </row>
    <row r="109" spans="1:19" s="549" customFormat="1" ht="15.75" thickBot="1" x14ac:dyDescent="0.3">
      <c r="A109" s="565" t="s">
        <v>935</v>
      </c>
      <c r="B109" s="591" t="s">
        <v>936</v>
      </c>
      <c r="C109" s="592" t="e">
        <f>'[8]CT P VIANDA'!L298</f>
        <v>#REF!</v>
      </c>
      <c r="D109" s="577">
        <v>0.17</v>
      </c>
      <c r="E109" s="577">
        <f>D109*0.4</f>
        <v>6.8000000000000005E-2</v>
      </c>
      <c r="F109" s="809" t="e">
        <f>C109*D109</f>
        <v>#REF!</v>
      </c>
      <c r="G109" s="593" t="e">
        <f>C109*E109</f>
        <v>#REF!</v>
      </c>
      <c r="H109" s="792" t="s">
        <v>631</v>
      </c>
      <c r="I109" s="687"/>
      <c r="J109" s="686"/>
      <c r="K109" s="686"/>
      <c r="L109" s="686"/>
      <c r="M109" s="686"/>
      <c r="N109" s="686"/>
      <c r="O109" s="686"/>
      <c r="P109" s="686"/>
      <c r="Q109" s="686"/>
      <c r="R109" s="778"/>
      <c r="S109" s="778"/>
    </row>
    <row r="110" spans="1:19" s="575" customFormat="1" ht="15.75" thickBot="1" x14ac:dyDescent="0.3">
      <c r="A110" s="594" t="s">
        <v>937</v>
      </c>
      <c r="B110" s="595"/>
      <c r="C110" s="596"/>
      <c r="D110" s="597"/>
      <c r="E110" s="597"/>
      <c r="F110" s="810" t="e">
        <f>SUM(F107:F109)</f>
        <v>#REF!</v>
      </c>
      <c r="G110" s="598" t="e">
        <f>SUM(G107:G109)</f>
        <v>#REF!</v>
      </c>
      <c r="H110" s="792" t="s">
        <v>631</v>
      </c>
      <c r="I110" s="690"/>
      <c r="J110" s="691"/>
      <c r="K110" s="691"/>
      <c r="L110" s="691"/>
      <c r="M110" s="691"/>
      <c r="N110" s="691"/>
      <c r="O110" s="691"/>
      <c r="P110" s="691"/>
      <c r="Q110" s="691"/>
      <c r="R110" s="780"/>
      <c r="S110" s="780"/>
    </row>
    <row r="111" spans="1:19" s="575" customFormat="1" ht="15.75" thickBot="1" x14ac:dyDescent="0.3">
      <c r="A111" s="599" t="s">
        <v>938</v>
      </c>
      <c r="B111" s="599"/>
      <c r="C111" s="600"/>
      <c r="D111" s="600"/>
      <c r="E111" s="600"/>
      <c r="F111" s="811" t="e">
        <f>F105+F110</f>
        <v>#REF!</v>
      </c>
      <c r="G111" s="600" t="e">
        <f>G105+G110</f>
        <v>#REF!</v>
      </c>
      <c r="H111" s="792" t="s">
        <v>631</v>
      </c>
      <c r="I111" s="690"/>
      <c r="J111" s="691"/>
      <c r="K111" s="691"/>
      <c r="L111" s="691"/>
      <c r="M111" s="691"/>
      <c r="N111" s="691"/>
      <c r="O111" s="691"/>
      <c r="P111" s="691"/>
      <c r="Q111" s="691"/>
      <c r="R111" s="780"/>
      <c r="S111" s="780"/>
    </row>
    <row r="112" spans="1:19" s="549" customFormat="1" ht="15" x14ac:dyDescent="0.25">
      <c r="A112" s="2377" t="s">
        <v>232</v>
      </c>
      <c r="B112" s="2378"/>
      <c r="C112" s="2378"/>
      <c r="D112" s="2378"/>
      <c r="E112" s="2381"/>
      <c r="F112" s="2382" t="s">
        <v>230</v>
      </c>
      <c r="G112" s="2380"/>
      <c r="H112" s="792" t="s">
        <v>631</v>
      </c>
      <c r="I112" s="686"/>
      <c r="J112" s="686"/>
      <c r="K112" s="686"/>
      <c r="L112" s="686"/>
      <c r="M112" s="686"/>
      <c r="N112" s="686"/>
      <c r="O112" s="686"/>
      <c r="P112" s="686"/>
      <c r="Q112" s="686"/>
      <c r="R112" s="778"/>
      <c r="S112" s="778"/>
    </row>
    <row r="113" spans="1:19" s="549" customFormat="1" ht="15.75" thickBot="1" x14ac:dyDescent="0.3">
      <c r="A113" s="2383"/>
      <c r="B113" s="2384"/>
      <c r="C113" s="2384"/>
      <c r="D113" s="2384"/>
      <c r="E113" s="2385"/>
      <c r="F113" s="2335"/>
      <c r="G113" s="2336"/>
      <c r="H113" s="792" t="s">
        <v>631</v>
      </c>
      <c r="I113" s="687"/>
      <c r="J113" s="686"/>
      <c r="K113" s="686"/>
      <c r="L113" s="686"/>
      <c r="M113" s="686"/>
      <c r="N113" s="686"/>
      <c r="O113" s="686"/>
      <c r="P113" s="686"/>
      <c r="Q113" s="686"/>
      <c r="R113" s="778"/>
      <c r="S113" s="778"/>
    </row>
    <row r="114" spans="1:19" s="549" customFormat="1" ht="15" x14ac:dyDescent="0.25">
      <c r="A114" s="2377" t="s">
        <v>946</v>
      </c>
      <c r="B114" s="2378"/>
      <c r="C114" s="2378"/>
      <c r="D114" s="2378"/>
      <c r="E114" s="2378"/>
      <c r="F114" s="2379">
        <f ca="1">TODAY()</f>
        <v>45398</v>
      </c>
      <c r="G114" s="2380"/>
      <c r="H114" s="792" t="s">
        <v>631</v>
      </c>
      <c r="I114" s="686"/>
      <c r="J114" s="686"/>
      <c r="K114" s="686"/>
      <c r="L114" s="686"/>
      <c r="M114" s="686"/>
      <c r="N114" s="686"/>
      <c r="O114" s="686"/>
      <c r="P114" s="686"/>
      <c r="Q114" s="686"/>
      <c r="R114" s="778"/>
      <c r="S114" s="778"/>
    </row>
    <row r="115" spans="1:19" s="549" customFormat="1" ht="16.5" customHeight="1" thickBot="1" x14ac:dyDescent="0.3">
      <c r="A115" s="2337"/>
      <c r="B115" s="2338"/>
      <c r="C115" s="2338"/>
      <c r="D115" s="2338"/>
      <c r="E115" s="2339"/>
      <c r="F115" s="2335"/>
      <c r="G115" s="2336"/>
      <c r="H115" s="792" t="s">
        <v>631</v>
      </c>
      <c r="I115" s="686"/>
      <c r="J115" s="686"/>
      <c r="K115" s="686"/>
      <c r="L115" s="686"/>
      <c r="M115" s="686"/>
      <c r="N115" s="686"/>
      <c r="O115" s="686"/>
      <c r="P115" s="686"/>
      <c r="Q115" s="686"/>
      <c r="R115" s="778"/>
      <c r="S115" s="778"/>
    </row>
    <row r="116" spans="1:19" s="549" customFormat="1" ht="15" x14ac:dyDescent="0.25">
      <c r="A116" s="2360" t="s">
        <v>229</v>
      </c>
      <c r="B116" s="2361"/>
      <c r="C116" s="2361"/>
      <c r="D116" s="2361"/>
      <c r="E116" s="2361"/>
      <c r="F116" s="2361"/>
      <c r="G116" s="2362"/>
      <c r="H116" s="792" t="s">
        <v>466</v>
      </c>
      <c r="I116" s="686"/>
      <c r="J116" s="686"/>
      <c r="K116" s="686"/>
      <c r="L116" s="686"/>
      <c r="M116" s="686"/>
      <c r="N116" s="686"/>
      <c r="O116" s="686"/>
      <c r="P116" s="686"/>
      <c r="Q116" s="686"/>
      <c r="R116" s="778"/>
      <c r="S116" s="778"/>
    </row>
    <row r="117" spans="1:19" s="549" customFormat="1" ht="17.25" customHeight="1" x14ac:dyDescent="0.25">
      <c r="A117" s="2311" t="s">
        <v>925</v>
      </c>
      <c r="B117" s="2312"/>
      <c r="C117" s="2312"/>
      <c r="D117" s="2312"/>
      <c r="E117" s="2312"/>
      <c r="F117" s="2312"/>
      <c r="G117" s="2313"/>
      <c r="H117" s="792" t="s">
        <v>466</v>
      </c>
      <c r="I117" s="686"/>
      <c r="J117" s="686"/>
      <c r="K117" s="686"/>
      <c r="L117" s="686"/>
      <c r="M117" s="686"/>
      <c r="N117" s="686"/>
      <c r="O117" s="686"/>
      <c r="P117" s="686"/>
      <c r="Q117" s="686"/>
      <c r="R117" s="778"/>
      <c r="S117" s="778"/>
    </row>
    <row r="118" spans="1:19" s="549" customFormat="1" ht="15" x14ac:dyDescent="0.25">
      <c r="A118" s="550" t="s">
        <v>953</v>
      </c>
      <c r="B118" s="2366"/>
      <c r="C118" s="2366"/>
      <c r="D118" s="551"/>
      <c r="E118" s="2367"/>
      <c r="F118" s="2367"/>
      <c r="G118" s="2368"/>
      <c r="H118" s="792" t="s">
        <v>466</v>
      </c>
      <c r="I118" s="686"/>
      <c r="J118" s="693"/>
      <c r="K118" s="686"/>
      <c r="L118" s="686"/>
      <c r="M118" s="686"/>
      <c r="N118" s="686"/>
      <c r="O118" s="686"/>
      <c r="P118" s="686"/>
      <c r="Q118" s="686"/>
      <c r="R118" s="778"/>
      <c r="S118" s="778"/>
    </row>
    <row r="119" spans="1:19" s="549" customFormat="1" ht="15.75" thickBot="1" x14ac:dyDescent="0.3">
      <c r="A119" s="2369"/>
      <c r="B119" s="2370"/>
      <c r="C119" s="2370"/>
      <c r="D119" s="2370"/>
      <c r="E119" s="2370"/>
      <c r="F119" s="2370"/>
      <c r="G119" s="2371"/>
      <c r="H119" s="792" t="s">
        <v>466</v>
      </c>
      <c r="I119" s="686"/>
      <c r="J119" s="686"/>
      <c r="K119" s="686"/>
      <c r="L119" s="686"/>
      <c r="M119" s="686"/>
      <c r="N119" s="686"/>
      <c r="O119" s="686"/>
      <c r="P119" s="686"/>
      <c r="Q119" s="686"/>
      <c r="R119" s="778"/>
      <c r="S119" s="778"/>
    </row>
    <row r="120" spans="1:19" s="549" customFormat="1" ht="13.5" customHeight="1" thickBot="1" x14ac:dyDescent="0.3">
      <c r="A120" s="2351" t="s">
        <v>926</v>
      </c>
      <c r="B120" s="2351" t="s">
        <v>226</v>
      </c>
      <c r="C120" s="2354" t="s">
        <v>948</v>
      </c>
      <c r="D120" s="2357" t="s">
        <v>227</v>
      </c>
      <c r="E120" s="2358"/>
      <c r="F120" s="2357" t="s">
        <v>928</v>
      </c>
      <c r="G120" s="2374"/>
      <c r="H120" s="792" t="s">
        <v>466</v>
      </c>
      <c r="I120" s="686"/>
      <c r="J120" s="686"/>
      <c r="K120" s="686"/>
      <c r="L120" s="686"/>
      <c r="M120" s="686"/>
      <c r="N120" s="686"/>
      <c r="O120" s="686"/>
      <c r="P120" s="686"/>
      <c r="Q120" s="686"/>
      <c r="R120" s="778"/>
      <c r="S120" s="778"/>
    </row>
    <row r="121" spans="1:19" s="549" customFormat="1" ht="19.5" customHeight="1" x14ac:dyDescent="0.25">
      <c r="A121" s="2352"/>
      <c r="B121" s="2352"/>
      <c r="C121" s="2355"/>
      <c r="D121" s="2375" t="s">
        <v>219</v>
      </c>
      <c r="E121" s="2349" t="s">
        <v>929</v>
      </c>
      <c r="F121" s="2301" t="s">
        <v>219</v>
      </c>
      <c r="G121" s="2349" t="s">
        <v>929</v>
      </c>
      <c r="H121" s="792" t="s">
        <v>466</v>
      </c>
      <c r="I121" s="687"/>
      <c r="J121" s="687"/>
      <c r="K121" s="687"/>
      <c r="L121" s="686"/>
      <c r="M121" s="686"/>
      <c r="N121" s="686"/>
      <c r="O121" s="686"/>
      <c r="P121" s="686"/>
      <c r="Q121" s="686"/>
      <c r="R121" s="778"/>
      <c r="S121" s="778"/>
    </row>
    <row r="122" spans="1:19" s="549" customFormat="1" ht="25.5" customHeight="1" thickBot="1" x14ac:dyDescent="0.3">
      <c r="A122" s="2353"/>
      <c r="B122" s="2353"/>
      <c r="C122" s="2356"/>
      <c r="D122" s="2376"/>
      <c r="E122" s="2350"/>
      <c r="F122" s="2302"/>
      <c r="G122" s="2350"/>
      <c r="H122" s="792" t="s">
        <v>466</v>
      </c>
      <c r="I122" s="686"/>
      <c r="J122" s="686"/>
      <c r="K122" s="686"/>
      <c r="L122" s="686"/>
      <c r="M122" s="686"/>
      <c r="N122" s="686"/>
      <c r="O122" s="686"/>
      <c r="P122" s="686"/>
      <c r="Q122" s="686"/>
      <c r="R122" s="778"/>
      <c r="S122" s="778"/>
    </row>
    <row r="123" spans="1:19" s="549" customFormat="1" ht="15.75" thickBot="1" x14ac:dyDescent="0.3">
      <c r="A123" s="552">
        <v>1</v>
      </c>
      <c r="B123" s="552">
        <v>2</v>
      </c>
      <c r="C123" s="552">
        <v>3</v>
      </c>
      <c r="D123" s="552">
        <v>4</v>
      </c>
      <c r="E123" s="552">
        <v>5</v>
      </c>
      <c r="F123" s="796">
        <v>6</v>
      </c>
      <c r="G123" s="552">
        <v>7</v>
      </c>
      <c r="H123" s="792" t="s">
        <v>466</v>
      </c>
      <c r="I123" s="693"/>
      <c r="J123" s="693"/>
      <c r="K123" s="693"/>
      <c r="L123" s="686"/>
      <c r="M123" s="686"/>
      <c r="N123" s="686"/>
      <c r="O123" s="686"/>
      <c r="P123" s="686"/>
      <c r="Q123" s="686"/>
      <c r="R123" s="778"/>
      <c r="S123" s="778"/>
    </row>
    <row r="124" spans="1:19" s="558" customFormat="1" ht="15.75" thickBot="1" x14ac:dyDescent="0.3">
      <c r="A124" s="553" t="s">
        <v>295</v>
      </c>
      <c r="B124" s="554" t="s">
        <v>949</v>
      </c>
      <c r="C124" s="555">
        <v>38330</v>
      </c>
      <c r="D124" s="556" t="e">
        <f>[8]FERTILIZANTES!U194</f>
        <v>#REF!</v>
      </c>
      <c r="E124" s="556" t="e">
        <f>D124*0.4</f>
        <v>#REF!</v>
      </c>
      <c r="F124" s="803" t="e">
        <f t="shared" ref="F124:F131" si="8">C124*D124</f>
        <v>#REF!</v>
      </c>
      <c r="G124" s="576" t="e">
        <f t="shared" ref="G124:G131" si="9">C124*E124</f>
        <v>#REF!</v>
      </c>
      <c r="H124" s="792" t="s">
        <v>466</v>
      </c>
      <c r="I124" s="689"/>
      <c r="J124" s="689"/>
      <c r="K124" s="689"/>
      <c r="L124" s="689"/>
      <c r="M124" s="689"/>
      <c r="N124" s="689"/>
      <c r="O124" s="689"/>
      <c r="P124" s="689"/>
      <c r="Q124" s="689"/>
      <c r="R124" s="779"/>
      <c r="S124" s="779"/>
    </row>
    <row r="125" spans="1:19" s="558" customFormat="1" ht="15.75" thickBot="1" x14ac:dyDescent="0.3">
      <c r="A125" s="559"/>
      <c r="B125" s="601"/>
      <c r="C125" s="602"/>
      <c r="D125" s="573"/>
      <c r="E125" s="573"/>
      <c r="F125" s="803">
        <f t="shared" si="8"/>
        <v>0</v>
      </c>
      <c r="G125" s="576">
        <f t="shared" si="9"/>
        <v>0</v>
      </c>
      <c r="H125" s="792" t="s">
        <v>466</v>
      </c>
      <c r="I125" s="689"/>
      <c r="J125" s="689"/>
      <c r="K125" s="689"/>
      <c r="L125" s="689"/>
      <c r="M125" s="689"/>
      <c r="N125" s="689"/>
      <c r="O125" s="689"/>
      <c r="P125" s="689"/>
      <c r="Q125" s="689"/>
      <c r="R125" s="779"/>
      <c r="S125" s="779"/>
    </row>
    <row r="126" spans="1:19" s="549" customFormat="1" ht="15.75" thickBot="1" x14ac:dyDescent="0.3">
      <c r="A126" s="565" t="s">
        <v>954</v>
      </c>
      <c r="B126" s="567" t="s">
        <v>437</v>
      </c>
      <c r="C126" s="568">
        <v>3</v>
      </c>
      <c r="D126" s="566" t="e">
        <f>[8]FERTILIZANTES!S130</f>
        <v>#REF!</v>
      </c>
      <c r="E126" s="566">
        <f>[9]Importación!$I$141</f>
        <v>663.78500000000008</v>
      </c>
      <c r="F126" s="803" t="e">
        <f t="shared" si="8"/>
        <v>#REF!</v>
      </c>
      <c r="G126" s="576">
        <f t="shared" si="9"/>
        <v>1991.3550000000002</v>
      </c>
      <c r="H126" s="792" t="s">
        <v>466</v>
      </c>
      <c r="I126" s="687"/>
      <c r="J126" s="690"/>
      <c r="K126" s="686"/>
      <c r="L126" s="686"/>
      <c r="M126" s="686"/>
      <c r="N126" s="686"/>
      <c r="O126" s="686"/>
      <c r="P126" s="686"/>
      <c r="Q126" s="686"/>
      <c r="R126" s="778"/>
      <c r="S126" s="778"/>
    </row>
    <row r="127" spans="1:19" s="549" customFormat="1" ht="15.75" thickBot="1" x14ac:dyDescent="0.3">
      <c r="A127" s="565" t="s">
        <v>955</v>
      </c>
      <c r="B127" s="567" t="s">
        <v>292</v>
      </c>
      <c r="C127" s="568">
        <v>4</v>
      </c>
      <c r="D127" s="566" t="e">
        <f>'[8]PRECIOS DE INSUMOS PLAGUICIDAS'!O219</f>
        <v>#REF!</v>
      </c>
      <c r="E127" s="566">
        <v>8.76</v>
      </c>
      <c r="F127" s="803" t="e">
        <f t="shared" si="8"/>
        <v>#REF!</v>
      </c>
      <c r="G127" s="576">
        <f t="shared" si="9"/>
        <v>35.04</v>
      </c>
      <c r="H127" s="792" t="s">
        <v>466</v>
      </c>
      <c r="I127" s="687"/>
      <c r="J127" s="690"/>
      <c r="K127" s="686"/>
      <c r="L127" s="686"/>
      <c r="M127" s="686"/>
      <c r="N127" s="686"/>
      <c r="O127" s="686"/>
      <c r="P127" s="686"/>
      <c r="Q127" s="686"/>
      <c r="R127" s="778"/>
      <c r="S127" s="778"/>
    </row>
    <row r="128" spans="1:19" s="549" customFormat="1" ht="15.75" thickBot="1" x14ac:dyDescent="0.3">
      <c r="A128" s="565" t="s">
        <v>450</v>
      </c>
      <c r="B128" s="567" t="s">
        <v>292</v>
      </c>
      <c r="C128" s="568">
        <v>8</v>
      </c>
      <c r="D128" s="566" t="e">
        <f>'[8]PRECIOS DE INSUMOS PLAGUICIDAS'!O222</f>
        <v>#REF!</v>
      </c>
      <c r="E128" s="566">
        <v>9.9700000000000006</v>
      </c>
      <c r="F128" s="803" t="e">
        <f t="shared" si="8"/>
        <v>#REF!</v>
      </c>
      <c r="G128" s="576">
        <f t="shared" si="9"/>
        <v>79.760000000000005</v>
      </c>
      <c r="H128" s="792" t="s">
        <v>466</v>
      </c>
      <c r="I128" s="687"/>
      <c r="J128" s="690"/>
      <c r="K128" s="686"/>
      <c r="L128" s="686"/>
      <c r="M128" s="686"/>
      <c r="N128" s="686"/>
      <c r="O128" s="686"/>
      <c r="P128" s="686"/>
      <c r="Q128" s="686"/>
      <c r="R128" s="778"/>
      <c r="S128" s="778"/>
    </row>
    <row r="129" spans="1:19" s="549" customFormat="1" ht="15.75" thickBot="1" x14ac:dyDescent="0.3">
      <c r="A129" s="565" t="s">
        <v>951</v>
      </c>
      <c r="B129" s="567" t="s">
        <v>292</v>
      </c>
      <c r="C129" s="568">
        <v>2.5</v>
      </c>
      <c r="D129" s="566">
        <f>(E129*5)+I129*2</f>
        <v>32.537999999999997</v>
      </c>
      <c r="E129" s="566">
        <v>6.38</v>
      </c>
      <c r="F129" s="803">
        <f t="shared" si="8"/>
        <v>81.344999999999999</v>
      </c>
      <c r="G129" s="576">
        <f t="shared" si="9"/>
        <v>15.95</v>
      </c>
      <c r="H129" s="792" t="s">
        <v>466</v>
      </c>
      <c r="I129" s="687">
        <f>E129*5%</f>
        <v>0.31900000000000001</v>
      </c>
      <c r="J129" s="690"/>
      <c r="K129" s="686"/>
      <c r="L129" s="686"/>
      <c r="M129" s="686"/>
      <c r="N129" s="686"/>
      <c r="O129" s="686"/>
      <c r="P129" s="686"/>
      <c r="Q129" s="686"/>
      <c r="R129" s="778"/>
      <c r="S129" s="778"/>
    </row>
    <row r="130" spans="1:19" s="549" customFormat="1" ht="15.75" thickBot="1" x14ac:dyDescent="0.3">
      <c r="A130" s="565" t="s">
        <v>956</v>
      </c>
      <c r="B130" s="567" t="s">
        <v>638</v>
      </c>
      <c r="C130" s="568">
        <v>8</v>
      </c>
      <c r="D130" s="566" t="e">
        <f>'[8]PRECIOS DE INSUMOS PLAGUICIDAS'!O228</f>
        <v>#REF!</v>
      </c>
      <c r="E130" s="566">
        <v>3.8</v>
      </c>
      <c r="F130" s="803" t="e">
        <f t="shared" si="8"/>
        <v>#REF!</v>
      </c>
      <c r="G130" s="576">
        <f t="shared" si="9"/>
        <v>30.4</v>
      </c>
      <c r="H130" s="792" t="s">
        <v>466</v>
      </c>
      <c r="I130" s="687"/>
      <c r="J130" s="690"/>
      <c r="K130" s="686"/>
      <c r="L130" s="686"/>
      <c r="M130" s="686"/>
      <c r="N130" s="686"/>
      <c r="O130" s="686"/>
      <c r="P130" s="686"/>
      <c r="Q130" s="686"/>
      <c r="R130" s="778"/>
      <c r="S130" s="778"/>
    </row>
    <row r="131" spans="1:19" s="549" customFormat="1" ht="15.75" thickBot="1" x14ac:dyDescent="0.3">
      <c r="A131" s="565" t="s">
        <v>284</v>
      </c>
      <c r="B131" s="567" t="s">
        <v>292</v>
      </c>
      <c r="C131" s="568">
        <v>1</v>
      </c>
      <c r="D131" s="534">
        <f>FERTILIZANTES!S$63</f>
        <v>3000</v>
      </c>
      <c r="E131" s="566">
        <v>490</v>
      </c>
      <c r="F131" s="803">
        <f t="shared" si="8"/>
        <v>3000</v>
      </c>
      <c r="G131" s="576">
        <f t="shared" si="9"/>
        <v>490</v>
      </c>
      <c r="H131" s="792" t="s">
        <v>466</v>
      </c>
      <c r="I131" s="687"/>
      <c r="J131" s="690"/>
      <c r="K131" s="686"/>
      <c r="L131" s="686"/>
      <c r="M131" s="686"/>
      <c r="N131" s="686"/>
      <c r="O131" s="686"/>
      <c r="P131" s="686"/>
      <c r="Q131" s="686"/>
      <c r="R131" s="778"/>
      <c r="S131" s="778"/>
    </row>
    <row r="132" spans="1:19" s="549" customFormat="1" ht="15.75" thickBot="1" x14ac:dyDescent="0.3">
      <c r="A132" s="565"/>
      <c r="B132" s="567"/>
      <c r="C132" s="568"/>
      <c r="D132" s="566"/>
      <c r="E132" s="566"/>
      <c r="F132" s="807"/>
      <c r="G132" s="576"/>
      <c r="H132" s="792" t="s">
        <v>466</v>
      </c>
      <c r="I132" s="687"/>
      <c r="J132" s="690"/>
      <c r="K132" s="686"/>
      <c r="L132" s="686"/>
      <c r="M132" s="686"/>
      <c r="N132" s="686"/>
      <c r="O132" s="686"/>
      <c r="P132" s="686"/>
      <c r="Q132" s="686"/>
      <c r="R132" s="778"/>
      <c r="S132" s="778"/>
    </row>
    <row r="133" spans="1:19" s="549" customFormat="1" ht="15.75" thickBot="1" x14ac:dyDescent="0.3">
      <c r="A133" s="565" t="s">
        <v>931</v>
      </c>
      <c r="B133" s="567"/>
      <c r="C133" s="568"/>
      <c r="D133" s="566"/>
      <c r="E133" s="566"/>
      <c r="F133" s="807">
        <v>200</v>
      </c>
      <c r="G133" s="576">
        <v>40</v>
      </c>
      <c r="H133" s="792" t="s">
        <v>466</v>
      </c>
      <c r="I133" s="687"/>
      <c r="J133" s="687"/>
      <c r="K133" s="687"/>
      <c r="L133" s="686"/>
      <c r="M133" s="686"/>
      <c r="N133" s="686"/>
      <c r="O133" s="686"/>
      <c r="P133" s="686"/>
      <c r="Q133" s="686"/>
      <c r="R133" s="778"/>
      <c r="S133" s="778"/>
    </row>
    <row r="134" spans="1:19" s="575" customFormat="1" ht="15.75" thickBot="1" x14ac:dyDescent="0.3">
      <c r="A134" s="559" t="s">
        <v>932</v>
      </c>
      <c r="B134" s="570"/>
      <c r="C134" s="571"/>
      <c r="D134" s="572"/>
      <c r="E134" s="572"/>
      <c r="F134" s="808" t="e">
        <f>SUM(F124:F133)</f>
        <v>#REF!</v>
      </c>
      <c r="G134" s="581" t="e">
        <f>SUM(G124:G133)</f>
        <v>#REF!</v>
      </c>
      <c r="H134" s="792" t="s">
        <v>466</v>
      </c>
      <c r="I134" s="690"/>
      <c r="J134" s="690"/>
      <c r="K134" s="691"/>
      <c r="L134" s="691"/>
      <c r="M134" s="691"/>
      <c r="N134" s="691"/>
      <c r="O134" s="691"/>
      <c r="P134" s="691"/>
      <c r="Q134" s="691"/>
      <c r="R134" s="780"/>
      <c r="S134" s="780"/>
    </row>
    <row r="135" spans="1:19" s="549" customFormat="1" ht="15.75" thickBot="1" x14ac:dyDescent="0.3">
      <c r="A135" s="559" t="s">
        <v>933</v>
      </c>
      <c r="B135" s="567"/>
      <c r="C135" s="568"/>
      <c r="D135" s="566"/>
      <c r="E135" s="566"/>
      <c r="F135" s="803"/>
      <c r="G135" s="576"/>
      <c r="H135" s="792" t="s">
        <v>466</v>
      </c>
      <c r="I135" s="687"/>
      <c r="J135" s="690"/>
      <c r="K135" s="686"/>
      <c r="L135" s="686"/>
      <c r="M135" s="686"/>
      <c r="N135" s="686"/>
      <c r="O135" s="686"/>
      <c r="P135" s="686"/>
      <c r="Q135" s="686"/>
      <c r="R135" s="778"/>
      <c r="S135" s="778"/>
    </row>
    <row r="136" spans="1:19" s="549" customFormat="1" ht="15.75" thickBot="1" x14ac:dyDescent="0.3">
      <c r="A136" s="565" t="s">
        <v>283</v>
      </c>
      <c r="B136" s="567" t="s">
        <v>934</v>
      </c>
      <c r="C136" s="568">
        <v>10.85</v>
      </c>
      <c r="D136" s="534">
        <v>18</v>
      </c>
      <c r="E136" s="534">
        <f>D136*0.4</f>
        <v>7.2</v>
      </c>
      <c r="F136" s="803">
        <f>C136*D136</f>
        <v>195.29999999999998</v>
      </c>
      <c r="G136" s="576">
        <f>C136*E136</f>
        <v>78.12</v>
      </c>
      <c r="H136" s="792" t="s">
        <v>466</v>
      </c>
      <c r="I136" s="687"/>
      <c r="J136" s="690">
        <f>F136</f>
        <v>195.29999999999998</v>
      </c>
      <c r="K136" s="686"/>
      <c r="L136" s="686"/>
      <c r="M136" s="686"/>
      <c r="N136" s="686"/>
      <c r="O136" s="686"/>
      <c r="P136" s="686"/>
      <c r="Q136" s="686"/>
      <c r="R136" s="778"/>
      <c r="S136" s="778"/>
    </row>
    <row r="137" spans="1:19" s="549" customFormat="1" ht="15.75" thickBot="1" x14ac:dyDescent="0.3">
      <c r="A137" s="565" t="s">
        <v>234</v>
      </c>
      <c r="B137" s="567" t="s">
        <v>638</v>
      </c>
      <c r="C137" s="568">
        <v>261.72000000000003</v>
      </c>
      <c r="D137" s="534" t="e">
        <f>'[8]IM M XANT'!D138</f>
        <v>#REF!</v>
      </c>
      <c r="E137" s="534" t="e">
        <f>'[8]IM M XANT'!E138</f>
        <v>#REF!</v>
      </c>
      <c r="F137" s="803" t="e">
        <f>C137*D137</f>
        <v>#REF!</v>
      </c>
      <c r="G137" s="576" t="e">
        <f>C137*E137</f>
        <v>#REF!</v>
      </c>
      <c r="H137" s="792" t="s">
        <v>466</v>
      </c>
      <c r="I137" s="687">
        <v>24.75</v>
      </c>
      <c r="J137" s="690">
        <f>C137*I137</f>
        <v>6477.5700000000006</v>
      </c>
      <c r="K137" s="686"/>
      <c r="L137" s="686"/>
      <c r="M137" s="686"/>
      <c r="N137" s="686"/>
      <c r="O137" s="686"/>
      <c r="P137" s="686"/>
      <c r="Q137" s="686"/>
      <c r="R137" s="778"/>
      <c r="S137" s="778"/>
    </row>
    <row r="138" spans="1:19" s="549" customFormat="1" ht="15.75" thickBot="1" x14ac:dyDescent="0.3">
      <c r="A138" s="603" t="s">
        <v>935</v>
      </c>
      <c r="B138" s="604" t="s">
        <v>936</v>
      </c>
      <c r="C138" s="605">
        <v>1696</v>
      </c>
      <c r="D138" s="577">
        <v>0.17</v>
      </c>
      <c r="E138" s="577">
        <f>D138*0.4</f>
        <v>6.8000000000000005E-2</v>
      </c>
      <c r="F138" s="812">
        <f>C138*D138</f>
        <v>288.32</v>
      </c>
      <c r="G138" s="606">
        <f>C138*E138</f>
        <v>115.328</v>
      </c>
      <c r="H138" s="792" t="s">
        <v>466</v>
      </c>
      <c r="I138" s="687"/>
      <c r="J138" s="687">
        <f>F138</f>
        <v>288.32</v>
      </c>
      <c r="K138" s="686"/>
      <c r="L138" s="686"/>
      <c r="M138" s="686"/>
      <c r="N138" s="686"/>
      <c r="O138" s="686"/>
      <c r="P138" s="686"/>
      <c r="Q138" s="686"/>
      <c r="R138" s="778"/>
      <c r="S138" s="778"/>
    </row>
    <row r="139" spans="1:19" s="575" customFormat="1" ht="15.75" thickBot="1" x14ac:dyDescent="0.3">
      <c r="A139" s="607" t="s">
        <v>937</v>
      </c>
      <c r="B139" s="608"/>
      <c r="C139" s="609"/>
      <c r="D139" s="609"/>
      <c r="E139" s="609"/>
      <c r="F139" s="813" t="e">
        <f>SUM(F136:F138)</f>
        <v>#REF!</v>
      </c>
      <c r="G139" s="610" t="e">
        <f>SUM(G136:G138)</f>
        <v>#REF!</v>
      </c>
      <c r="H139" s="792" t="s">
        <v>466</v>
      </c>
      <c r="I139" s="690"/>
      <c r="J139" s="690">
        <f>SUM(J136:J138)</f>
        <v>6961.1900000000005</v>
      </c>
      <c r="K139" s="691"/>
      <c r="L139" s="691"/>
      <c r="M139" s="691"/>
      <c r="N139" s="691"/>
      <c r="O139" s="691"/>
      <c r="P139" s="691"/>
      <c r="Q139" s="691"/>
      <c r="R139" s="780"/>
      <c r="S139" s="780"/>
    </row>
    <row r="140" spans="1:19" s="575" customFormat="1" ht="15.75" thickBot="1" x14ac:dyDescent="0.3">
      <c r="A140" s="582" t="s">
        <v>938</v>
      </c>
      <c r="B140" s="583"/>
      <c r="C140" s="584"/>
      <c r="D140" s="584"/>
      <c r="E140" s="585"/>
      <c r="F140" s="814" t="e">
        <f>F134+F139</f>
        <v>#REF!</v>
      </c>
      <c r="G140" s="600" t="e">
        <f>G134+G139</f>
        <v>#REF!</v>
      </c>
      <c r="H140" s="792" t="s">
        <v>466</v>
      </c>
      <c r="I140" s="690"/>
      <c r="J140" s="691"/>
      <c r="K140" s="691"/>
      <c r="L140" s="691"/>
      <c r="M140" s="691"/>
      <c r="N140" s="691"/>
      <c r="O140" s="691"/>
      <c r="P140" s="691"/>
      <c r="Q140" s="691"/>
      <c r="R140" s="780"/>
      <c r="S140" s="780"/>
    </row>
    <row r="141" spans="1:19" s="549" customFormat="1" ht="15" x14ac:dyDescent="0.25">
      <c r="A141" s="2377" t="s">
        <v>232</v>
      </c>
      <c r="B141" s="2378"/>
      <c r="C141" s="2378"/>
      <c r="D141" s="2378"/>
      <c r="E141" s="2381"/>
      <c r="F141" s="2389" t="s">
        <v>230</v>
      </c>
      <c r="G141" s="2390"/>
      <c r="H141" s="792" t="s">
        <v>466</v>
      </c>
      <c r="I141" s="686"/>
      <c r="J141" s="686"/>
      <c r="K141" s="686"/>
      <c r="L141" s="686"/>
      <c r="M141" s="686"/>
      <c r="N141" s="686"/>
      <c r="O141" s="686"/>
      <c r="P141" s="686"/>
      <c r="Q141" s="686"/>
      <c r="R141" s="778"/>
      <c r="S141" s="778"/>
    </row>
    <row r="142" spans="1:19" s="549" customFormat="1" ht="15.75" thickBot="1" x14ac:dyDescent="0.3">
      <c r="A142" s="2393"/>
      <c r="B142" s="2394"/>
      <c r="C142" s="2394"/>
      <c r="D142" s="2394"/>
      <c r="E142" s="2395"/>
      <c r="F142" s="2391"/>
      <c r="G142" s="2392"/>
      <c r="H142" s="792" t="s">
        <v>466</v>
      </c>
      <c r="I142" s="687"/>
      <c r="J142" s="686"/>
      <c r="K142" s="686"/>
      <c r="L142" s="686"/>
      <c r="M142" s="686"/>
      <c r="N142" s="686"/>
      <c r="O142" s="686"/>
      <c r="P142" s="686"/>
      <c r="Q142" s="686"/>
      <c r="R142" s="778"/>
      <c r="S142" s="778"/>
    </row>
    <row r="143" spans="1:19" s="549" customFormat="1" ht="15" x14ac:dyDescent="0.25">
      <c r="A143" s="2377" t="s">
        <v>939</v>
      </c>
      <c r="B143" s="2378"/>
      <c r="C143" s="2378"/>
      <c r="D143" s="2378"/>
      <c r="E143" s="2378"/>
      <c r="F143" s="2396">
        <f ca="1">TODAY()</f>
        <v>45398</v>
      </c>
      <c r="G143" s="2397"/>
      <c r="H143" s="792" t="s">
        <v>466</v>
      </c>
      <c r="I143" s="686"/>
      <c r="J143" s="686"/>
      <c r="K143" s="686"/>
      <c r="L143" s="686"/>
      <c r="M143" s="686"/>
      <c r="N143" s="686"/>
      <c r="O143" s="686"/>
      <c r="P143" s="686"/>
      <c r="Q143" s="686"/>
      <c r="R143" s="778"/>
      <c r="S143" s="778"/>
    </row>
    <row r="144" spans="1:19" s="549" customFormat="1" ht="17.25" customHeight="1" thickBot="1" x14ac:dyDescent="0.3">
      <c r="A144" s="2346"/>
      <c r="B144" s="2347"/>
      <c r="C144" s="2347"/>
      <c r="D144" s="2347"/>
      <c r="E144" s="2348"/>
      <c r="F144" s="2398"/>
      <c r="G144" s="2399"/>
      <c r="H144" s="792" t="s">
        <v>466</v>
      </c>
      <c r="I144" s="686"/>
      <c r="J144" s="686"/>
      <c r="K144" s="686"/>
      <c r="L144" s="686"/>
      <c r="M144" s="686"/>
      <c r="N144" s="686"/>
      <c r="O144" s="686"/>
      <c r="P144" s="686"/>
      <c r="Q144" s="686"/>
      <c r="R144" s="778"/>
      <c r="S144" s="778"/>
    </row>
    <row r="145" spans="1:19" s="519" customFormat="1" ht="15" x14ac:dyDescent="0.25">
      <c r="A145" s="2308" t="s">
        <v>229</v>
      </c>
      <c r="B145" s="2309"/>
      <c r="C145" s="2309"/>
      <c r="D145" s="2309"/>
      <c r="E145" s="2309"/>
      <c r="F145" s="2309"/>
      <c r="G145" s="2310"/>
      <c r="H145" s="791" t="s">
        <v>30</v>
      </c>
      <c r="I145" s="686"/>
      <c r="J145" s="686"/>
      <c r="K145" s="686"/>
      <c r="L145" s="686"/>
      <c r="M145" s="686"/>
      <c r="N145" s="686"/>
      <c r="O145" s="686"/>
      <c r="P145" s="686"/>
      <c r="Q145" s="686"/>
      <c r="R145" s="778"/>
      <c r="S145" s="778"/>
    </row>
    <row r="146" spans="1:19" s="519" customFormat="1" ht="17.25" customHeight="1" x14ac:dyDescent="0.25">
      <c r="A146" s="2311" t="s">
        <v>925</v>
      </c>
      <c r="B146" s="2312"/>
      <c r="C146" s="2312"/>
      <c r="D146" s="2312"/>
      <c r="E146" s="2312"/>
      <c r="F146" s="2312"/>
      <c r="G146" s="2313"/>
      <c r="H146" s="791" t="s">
        <v>30</v>
      </c>
      <c r="I146" s="686"/>
      <c r="J146" s="686"/>
      <c r="K146" s="686"/>
      <c r="L146" s="686"/>
      <c r="M146" s="686"/>
      <c r="N146" s="686"/>
      <c r="O146" s="686"/>
      <c r="P146" s="686"/>
      <c r="Q146" s="686"/>
      <c r="R146" s="778"/>
      <c r="S146" s="778"/>
    </row>
    <row r="147" spans="1:19" s="519" customFormat="1" ht="15" x14ac:dyDescent="0.25">
      <c r="A147" s="611" t="s">
        <v>957</v>
      </c>
      <c r="B147" s="2400" t="s">
        <v>627</v>
      </c>
      <c r="C147" s="2400"/>
      <c r="D147" s="520"/>
      <c r="E147" s="2316"/>
      <c r="F147" s="2316"/>
      <c r="G147" s="2317"/>
      <c r="H147" s="791" t="s">
        <v>30</v>
      </c>
      <c r="I147" s="686"/>
      <c r="J147" s="693"/>
      <c r="K147" s="686"/>
      <c r="L147" s="686"/>
      <c r="M147" s="686"/>
      <c r="N147" s="686"/>
      <c r="O147" s="686"/>
      <c r="P147" s="686"/>
      <c r="Q147" s="686"/>
      <c r="R147" s="778"/>
      <c r="S147" s="778"/>
    </row>
    <row r="148" spans="1:19" s="519" customFormat="1" ht="15.75" thickBot="1" x14ac:dyDescent="0.3">
      <c r="A148" s="2318"/>
      <c r="B148" s="2319"/>
      <c r="C148" s="2319"/>
      <c r="D148" s="2319"/>
      <c r="E148" s="2319"/>
      <c r="F148" s="2319"/>
      <c r="G148" s="2320"/>
      <c r="H148" s="791" t="s">
        <v>30</v>
      </c>
      <c r="I148" s="686"/>
      <c r="J148" s="686"/>
      <c r="K148" s="686"/>
      <c r="L148" s="686"/>
      <c r="M148" s="686"/>
      <c r="N148" s="686"/>
      <c r="O148" s="686"/>
      <c r="P148" s="686"/>
      <c r="Q148" s="686"/>
      <c r="R148" s="778"/>
      <c r="S148" s="778"/>
    </row>
    <row r="149" spans="1:19" s="519" customFormat="1" ht="13.5" customHeight="1" thickBot="1" x14ac:dyDescent="0.3">
      <c r="A149" s="2321" t="s">
        <v>926</v>
      </c>
      <c r="B149" s="2321" t="s">
        <v>226</v>
      </c>
      <c r="C149" s="2401" t="s">
        <v>948</v>
      </c>
      <c r="D149" s="2303" t="s">
        <v>227</v>
      </c>
      <c r="E149" s="2327"/>
      <c r="F149" s="2303" t="s">
        <v>928</v>
      </c>
      <c r="G149" s="2304"/>
      <c r="H149" s="791" t="s">
        <v>30</v>
      </c>
      <c r="I149" s="686"/>
      <c r="J149" s="686"/>
      <c r="K149" s="686"/>
      <c r="L149" s="686"/>
      <c r="M149" s="686"/>
      <c r="N149" s="686"/>
      <c r="O149" s="686"/>
      <c r="P149" s="686"/>
      <c r="Q149" s="686"/>
      <c r="R149" s="778"/>
      <c r="S149" s="778"/>
    </row>
    <row r="150" spans="1:19" s="519" customFormat="1" ht="19.5" customHeight="1" x14ac:dyDescent="0.25">
      <c r="A150" s="2322"/>
      <c r="B150" s="2322"/>
      <c r="C150" s="2402"/>
      <c r="D150" s="2297" t="s">
        <v>219</v>
      </c>
      <c r="E150" s="2299" t="s">
        <v>929</v>
      </c>
      <c r="F150" s="2301" t="s">
        <v>219</v>
      </c>
      <c r="G150" s="2299" t="s">
        <v>929</v>
      </c>
      <c r="H150" s="791" t="s">
        <v>30</v>
      </c>
      <c r="I150" s="687"/>
      <c r="J150" s="687"/>
      <c r="K150" s="687"/>
      <c r="L150" s="686"/>
      <c r="M150" s="686"/>
      <c r="N150" s="686"/>
      <c r="O150" s="686"/>
      <c r="P150" s="686"/>
      <c r="Q150" s="686"/>
      <c r="R150" s="778"/>
      <c r="S150" s="778"/>
    </row>
    <row r="151" spans="1:19" s="519" customFormat="1" ht="25.5" customHeight="1" thickBot="1" x14ac:dyDescent="0.3">
      <c r="A151" s="2323"/>
      <c r="B151" s="2323"/>
      <c r="C151" s="2403"/>
      <c r="D151" s="2298"/>
      <c r="E151" s="2300"/>
      <c r="F151" s="2302"/>
      <c r="G151" s="2300"/>
      <c r="H151" s="791" t="s">
        <v>30</v>
      </c>
      <c r="I151" s="686"/>
      <c r="J151" s="686"/>
      <c r="K151" s="686"/>
      <c r="L151" s="686"/>
      <c r="M151" s="686"/>
      <c r="N151" s="686"/>
      <c r="O151" s="686"/>
      <c r="P151" s="686"/>
      <c r="Q151" s="686"/>
      <c r="R151" s="778"/>
      <c r="S151" s="778"/>
    </row>
    <row r="152" spans="1:19" s="519" customFormat="1" ht="15.75" thickBot="1" x14ac:dyDescent="0.3">
      <c r="A152" s="521">
        <v>1</v>
      </c>
      <c r="B152" s="521">
        <v>2</v>
      </c>
      <c r="C152" s="521">
        <v>3</v>
      </c>
      <c r="D152" s="521">
        <v>4</v>
      </c>
      <c r="E152" s="521">
        <v>5</v>
      </c>
      <c r="F152" s="796">
        <v>6</v>
      </c>
      <c r="G152" s="521">
        <v>7</v>
      </c>
      <c r="H152" s="791" t="s">
        <v>30</v>
      </c>
      <c r="I152" s="693"/>
      <c r="J152" s="693"/>
      <c r="K152" s="693"/>
      <c r="L152" s="686"/>
      <c r="M152" s="686"/>
      <c r="N152" s="686"/>
      <c r="O152" s="686"/>
      <c r="P152" s="686"/>
      <c r="Q152" s="686"/>
      <c r="R152" s="778"/>
      <c r="S152" s="778"/>
    </row>
    <row r="153" spans="1:19" s="527" customFormat="1" ht="15.75" thickBot="1" x14ac:dyDescent="0.3">
      <c r="A153" s="553" t="s">
        <v>295</v>
      </c>
      <c r="B153" s="523" t="s">
        <v>949</v>
      </c>
      <c r="C153" s="524">
        <v>33330</v>
      </c>
      <c r="D153" s="525" t="e">
        <f>'[8]MAT BURRO'!D154</f>
        <v>#REF!</v>
      </c>
      <c r="E153" s="525" t="e">
        <f>D153*0.4</f>
        <v>#REF!</v>
      </c>
      <c r="F153" s="803" t="e">
        <f t="shared" ref="F153:F160" si="10">C153*D153</f>
        <v>#REF!</v>
      </c>
      <c r="G153" s="612" t="e">
        <f>C153*E153</f>
        <v>#REF!</v>
      </c>
      <c r="H153" s="791" t="s">
        <v>30</v>
      </c>
      <c r="I153" s="689"/>
      <c r="J153" s="689"/>
      <c r="K153" s="689"/>
      <c r="L153" s="689"/>
      <c r="M153" s="689"/>
      <c r="N153" s="689"/>
      <c r="O153" s="689"/>
      <c r="P153" s="689"/>
      <c r="Q153" s="689"/>
      <c r="R153" s="779"/>
      <c r="S153" s="779"/>
    </row>
    <row r="154" spans="1:19" s="527" customFormat="1" ht="15.75" thickBot="1" x14ac:dyDescent="0.3">
      <c r="A154" s="559"/>
      <c r="B154" s="528"/>
      <c r="C154" s="529"/>
      <c r="D154" s="530"/>
      <c r="E154" s="530"/>
      <c r="F154" s="803">
        <f t="shared" si="10"/>
        <v>0</v>
      </c>
      <c r="G154" s="613"/>
      <c r="H154" s="791" t="s">
        <v>30</v>
      </c>
      <c r="I154" s="689"/>
      <c r="J154" s="689"/>
      <c r="K154" s="689"/>
      <c r="L154" s="689"/>
      <c r="M154" s="689"/>
      <c r="N154" s="689"/>
      <c r="O154" s="689"/>
      <c r="P154" s="689"/>
      <c r="Q154" s="689"/>
      <c r="R154" s="779"/>
      <c r="S154" s="779"/>
    </row>
    <row r="155" spans="1:19" s="519" customFormat="1" ht="15.75" thickBot="1" x14ac:dyDescent="0.3">
      <c r="A155" s="565" t="s">
        <v>958</v>
      </c>
      <c r="B155" s="532" t="s">
        <v>437</v>
      </c>
      <c r="C155" s="533">
        <v>3</v>
      </c>
      <c r="D155" s="534" t="e">
        <f>'[8]MAT BURRO'!D156</f>
        <v>#REF!</v>
      </c>
      <c r="E155" s="534">
        <f>[9]Importación!$I$141</f>
        <v>663.78500000000008</v>
      </c>
      <c r="F155" s="803" t="e">
        <f t="shared" si="10"/>
        <v>#REF!</v>
      </c>
      <c r="G155" s="589">
        <f t="shared" ref="G155:G160" si="11">C155*E155</f>
        <v>1991.3550000000002</v>
      </c>
      <c r="H155" s="791" t="s">
        <v>30</v>
      </c>
      <c r="I155" s="687"/>
      <c r="J155" s="690"/>
      <c r="K155" s="687"/>
      <c r="L155" s="686"/>
      <c r="M155" s="686"/>
      <c r="N155" s="686"/>
      <c r="O155" s="686"/>
      <c r="P155" s="686"/>
      <c r="Q155" s="686"/>
      <c r="R155" s="778"/>
      <c r="S155" s="778"/>
    </row>
    <row r="156" spans="1:19" s="519" customFormat="1" ht="15.75" thickBot="1" x14ac:dyDescent="0.3">
      <c r="A156" s="565" t="s">
        <v>284</v>
      </c>
      <c r="B156" s="532" t="s">
        <v>437</v>
      </c>
      <c r="C156" s="533">
        <v>1</v>
      </c>
      <c r="D156" s="534">
        <f>FERTILIZANTES!S$63</f>
        <v>3000</v>
      </c>
      <c r="E156" s="534">
        <v>490</v>
      </c>
      <c r="F156" s="803">
        <f t="shared" si="10"/>
        <v>3000</v>
      </c>
      <c r="G156" s="589">
        <f t="shared" si="11"/>
        <v>490</v>
      </c>
      <c r="H156" s="791" t="s">
        <v>30</v>
      </c>
      <c r="I156" s="687"/>
      <c r="J156" s="690"/>
      <c r="K156" s="687"/>
      <c r="L156" s="686"/>
      <c r="M156" s="686"/>
      <c r="N156" s="686"/>
      <c r="O156" s="686"/>
      <c r="P156" s="686"/>
      <c r="Q156" s="686"/>
      <c r="R156" s="778"/>
      <c r="S156" s="778"/>
    </row>
    <row r="157" spans="1:19" s="519" customFormat="1" ht="15.75" thickBot="1" x14ac:dyDescent="0.3">
      <c r="A157" s="565" t="s">
        <v>955</v>
      </c>
      <c r="B157" s="532" t="s">
        <v>638</v>
      </c>
      <c r="C157" s="533">
        <v>4</v>
      </c>
      <c r="D157" s="534" t="e">
        <f>'[8]PRECIOS DE INSUMOS PLAGUICIDAS'!O248</f>
        <v>#REF!</v>
      </c>
      <c r="E157" s="534">
        <v>8.76</v>
      </c>
      <c r="F157" s="803" t="e">
        <f t="shared" si="10"/>
        <v>#REF!</v>
      </c>
      <c r="G157" s="589">
        <f t="shared" si="11"/>
        <v>35.04</v>
      </c>
      <c r="H157" s="791" t="s">
        <v>30</v>
      </c>
      <c r="I157" s="687"/>
      <c r="J157" s="690"/>
      <c r="K157" s="687"/>
      <c r="L157" s="686"/>
      <c r="M157" s="686"/>
      <c r="N157" s="686"/>
      <c r="O157" s="686"/>
      <c r="P157" s="686"/>
      <c r="Q157" s="686"/>
      <c r="R157" s="778"/>
      <c r="S157" s="778"/>
    </row>
    <row r="158" spans="1:19" s="519" customFormat="1" ht="15.75" thickBot="1" x14ac:dyDescent="0.3">
      <c r="A158" s="565" t="s">
        <v>450</v>
      </c>
      <c r="B158" s="532" t="s">
        <v>638</v>
      </c>
      <c r="C158" s="533">
        <v>8</v>
      </c>
      <c r="D158" s="534" t="e">
        <f>'[8]PRECIOS DE INSUMOS PLAGUICIDAS'!O251</f>
        <v>#REF!</v>
      </c>
      <c r="E158" s="534">
        <v>9.9700000000000006</v>
      </c>
      <c r="F158" s="803" t="e">
        <f t="shared" si="10"/>
        <v>#REF!</v>
      </c>
      <c r="G158" s="589">
        <f t="shared" si="11"/>
        <v>79.760000000000005</v>
      </c>
      <c r="H158" s="791" t="s">
        <v>30</v>
      </c>
      <c r="I158" s="687"/>
      <c r="J158" s="690"/>
      <c r="K158" s="687"/>
      <c r="L158" s="686"/>
      <c r="M158" s="686"/>
      <c r="N158" s="686"/>
      <c r="O158" s="686"/>
      <c r="P158" s="686"/>
      <c r="Q158" s="686"/>
      <c r="R158" s="778"/>
      <c r="S158" s="778"/>
    </row>
    <row r="159" spans="1:19" s="519" customFormat="1" ht="15.75" thickBot="1" x14ac:dyDescent="0.3">
      <c r="A159" s="565" t="s">
        <v>959</v>
      </c>
      <c r="B159" s="532" t="s">
        <v>292</v>
      </c>
      <c r="C159" s="533">
        <v>5</v>
      </c>
      <c r="D159" s="534" t="e">
        <f>'[8]MAT BURRO'!D159</f>
        <v>#REF!</v>
      </c>
      <c r="E159" s="534">
        <v>6.38</v>
      </c>
      <c r="F159" s="803" t="e">
        <f t="shared" si="10"/>
        <v>#REF!</v>
      </c>
      <c r="G159" s="589">
        <f t="shared" si="11"/>
        <v>31.9</v>
      </c>
      <c r="H159" s="791" t="s">
        <v>30</v>
      </c>
      <c r="I159" s="687"/>
      <c r="J159" s="690"/>
      <c r="K159" s="687"/>
      <c r="L159" s="686"/>
      <c r="M159" s="686"/>
      <c r="N159" s="686"/>
      <c r="O159" s="686"/>
      <c r="P159" s="686"/>
      <c r="Q159" s="686"/>
      <c r="R159" s="778"/>
      <c r="S159" s="778"/>
    </row>
    <row r="160" spans="1:19" s="519" customFormat="1" ht="15.75" thickBot="1" x14ac:dyDescent="0.3">
      <c r="A160" s="565" t="s">
        <v>960</v>
      </c>
      <c r="B160" s="532" t="s">
        <v>638</v>
      </c>
      <c r="C160" s="533">
        <v>8</v>
      </c>
      <c r="D160" s="534" t="e">
        <f>'[8]PRECIOS DE INSUMOS PLAGUICIDAS'!O257</f>
        <v>#REF!</v>
      </c>
      <c r="E160" s="534">
        <v>3.8</v>
      </c>
      <c r="F160" s="803" t="e">
        <f t="shared" si="10"/>
        <v>#REF!</v>
      </c>
      <c r="G160" s="589">
        <f t="shared" si="11"/>
        <v>30.4</v>
      </c>
      <c r="H160" s="791" t="s">
        <v>30</v>
      </c>
      <c r="I160" s="687"/>
      <c r="J160" s="690"/>
      <c r="K160" s="687"/>
      <c r="L160" s="686"/>
      <c r="M160" s="686"/>
      <c r="N160" s="686"/>
      <c r="O160" s="686"/>
      <c r="P160" s="686"/>
      <c r="Q160" s="686"/>
      <c r="R160" s="778"/>
      <c r="S160" s="778"/>
    </row>
    <row r="161" spans="1:19" s="519" customFormat="1" ht="15.75" thickBot="1" x14ac:dyDescent="0.3">
      <c r="A161" s="565"/>
      <c r="B161" s="532"/>
      <c r="C161" s="533"/>
      <c r="D161" s="534"/>
      <c r="E161" s="534"/>
      <c r="F161" s="803"/>
      <c r="G161" s="589"/>
      <c r="H161" s="791" t="s">
        <v>30</v>
      </c>
      <c r="I161" s="687"/>
      <c r="J161" s="690"/>
      <c r="K161" s="687"/>
      <c r="L161" s="686"/>
      <c r="M161" s="686"/>
      <c r="N161" s="686"/>
      <c r="O161" s="686"/>
      <c r="P161" s="686"/>
      <c r="Q161" s="686"/>
      <c r="R161" s="778"/>
      <c r="S161" s="778"/>
    </row>
    <row r="162" spans="1:19" s="540" customFormat="1" ht="15.75" thickBot="1" x14ac:dyDescent="0.3">
      <c r="A162" s="559" t="s">
        <v>952</v>
      </c>
      <c r="B162" s="536"/>
      <c r="C162" s="537"/>
      <c r="D162" s="538"/>
      <c r="E162" s="538"/>
      <c r="F162" s="804">
        <v>210</v>
      </c>
      <c r="G162" s="588">
        <v>40</v>
      </c>
      <c r="H162" s="791" t="s">
        <v>30</v>
      </c>
      <c r="I162" s="690"/>
      <c r="J162" s="690"/>
      <c r="K162" s="690"/>
      <c r="L162" s="691"/>
      <c r="M162" s="691"/>
      <c r="N162" s="691"/>
      <c r="O162" s="691"/>
      <c r="P162" s="691"/>
      <c r="Q162" s="691"/>
      <c r="R162" s="780"/>
      <c r="S162" s="780"/>
    </row>
    <row r="163" spans="1:19" s="540" customFormat="1" ht="15.75" thickBot="1" x14ac:dyDescent="0.3">
      <c r="A163" s="559" t="s">
        <v>961</v>
      </c>
      <c r="B163" s="614"/>
      <c r="C163" s="614"/>
      <c r="D163" s="614"/>
      <c r="E163" s="538"/>
      <c r="F163" s="804" t="e">
        <f>SUM(F153:F162)</f>
        <v>#REF!</v>
      </c>
      <c r="G163" s="588" t="e">
        <f>SUM(G153:G162)</f>
        <v>#REF!</v>
      </c>
      <c r="H163" s="791" t="s">
        <v>30</v>
      </c>
      <c r="I163" s="690"/>
      <c r="J163" s="690"/>
      <c r="K163" s="690"/>
      <c r="L163" s="691"/>
      <c r="M163" s="691"/>
      <c r="N163" s="691"/>
      <c r="O163" s="691"/>
      <c r="P163" s="691"/>
      <c r="Q163" s="691"/>
      <c r="R163" s="780"/>
      <c r="S163" s="780"/>
    </row>
    <row r="164" spans="1:19" s="540" customFormat="1" ht="15.75" thickBot="1" x14ac:dyDescent="0.3">
      <c r="A164" s="559" t="s">
        <v>933</v>
      </c>
      <c r="B164" s="614"/>
      <c r="C164" s="614"/>
      <c r="D164" s="614"/>
      <c r="E164" s="538"/>
      <c r="F164" s="804"/>
      <c r="G164" s="588"/>
      <c r="H164" s="791" t="s">
        <v>30</v>
      </c>
      <c r="I164" s="690"/>
      <c r="J164" s="690"/>
      <c r="K164" s="691"/>
      <c r="L164" s="691"/>
      <c r="M164" s="691"/>
      <c r="N164" s="691"/>
      <c r="O164" s="691"/>
      <c r="P164" s="691"/>
      <c r="Q164" s="691"/>
      <c r="R164" s="780"/>
      <c r="S164" s="780"/>
    </row>
    <row r="165" spans="1:19" s="519" customFormat="1" ht="15.75" thickBot="1" x14ac:dyDescent="0.3">
      <c r="A165" s="565" t="s">
        <v>283</v>
      </c>
      <c r="B165" s="532" t="s">
        <v>934</v>
      </c>
      <c r="C165" s="533">
        <v>19.95</v>
      </c>
      <c r="D165" s="534">
        <v>18</v>
      </c>
      <c r="E165" s="534">
        <f>D165*0.4</f>
        <v>7.2</v>
      </c>
      <c r="F165" s="803">
        <f>C165*D165</f>
        <v>359.09999999999997</v>
      </c>
      <c r="G165" s="589">
        <f>C165*E165</f>
        <v>143.63999999999999</v>
      </c>
      <c r="H165" s="791" t="s">
        <v>30</v>
      </c>
      <c r="I165" s="686"/>
      <c r="J165" s="694">
        <f>F165</f>
        <v>359.09999999999997</v>
      </c>
      <c r="K165" s="686"/>
      <c r="L165" s="686"/>
      <c r="M165" s="686"/>
      <c r="N165" s="686"/>
      <c r="O165" s="686"/>
      <c r="P165" s="686"/>
      <c r="Q165" s="686"/>
      <c r="R165" s="778"/>
      <c r="S165" s="778"/>
    </row>
    <row r="166" spans="1:19" s="519" customFormat="1" ht="15.75" thickBot="1" x14ac:dyDescent="0.3">
      <c r="A166" s="565" t="s">
        <v>234</v>
      </c>
      <c r="B166" s="532" t="s">
        <v>638</v>
      </c>
      <c r="C166" s="533">
        <v>395.92</v>
      </c>
      <c r="D166" s="534" t="e">
        <f>'[8]MAT BURRO'!D167</f>
        <v>#REF!</v>
      </c>
      <c r="E166" s="534" t="e">
        <f>'[8]MAT BURRO'!E167</f>
        <v>#REF!</v>
      </c>
      <c r="F166" s="803" t="e">
        <f>C166*D166</f>
        <v>#REF!</v>
      </c>
      <c r="G166" s="589" t="e">
        <f>C166*E166</f>
        <v>#REF!</v>
      </c>
      <c r="H166" s="791" t="s">
        <v>30</v>
      </c>
      <c r="I166" s="687">
        <v>24.75</v>
      </c>
      <c r="J166" s="695">
        <f>C166*I166</f>
        <v>9799.02</v>
      </c>
      <c r="K166" s="686"/>
      <c r="L166" s="686"/>
      <c r="M166" s="686"/>
      <c r="N166" s="686"/>
      <c r="O166" s="686"/>
      <c r="P166" s="686"/>
      <c r="Q166" s="686"/>
      <c r="R166" s="778"/>
      <c r="S166" s="778"/>
    </row>
    <row r="167" spans="1:19" s="519" customFormat="1" ht="15.75" thickBot="1" x14ac:dyDescent="0.3">
      <c r="A167" s="565" t="s">
        <v>935</v>
      </c>
      <c r="B167" s="532" t="s">
        <v>936</v>
      </c>
      <c r="C167" s="533">
        <v>3074</v>
      </c>
      <c r="D167" s="577">
        <v>0.17</v>
      </c>
      <c r="E167" s="577">
        <f>D167*0.4</f>
        <v>6.8000000000000005E-2</v>
      </c>
      <c r="F167" s="803">
        <f>C167*D167</f>
        <v>522.58000000000004</v>
      </c>
      <c r="G167" s="589">
        <f>C167*E167</f>
        <v>209.03200000000001</v>
      </c>
      <c r="H167" s="791" t="s">
        <v>30</v>
      </c>
      <c r="I167" s="686"/>
      <c r="J167" s="694">
        <f>F167</f>
        <v>522.58000000000004</v>
      </c>
      <c r="K167" s="686"/>
      <c r="L167" s="686"/>
      <c r="M167" s="686"/>
      <c r="N167" s="686"/>
      <c r="O167" s="686"/>
      <c r="P167" s="686"/>
      <c r="Q167" s="686"/>
      <c r="R167" s="778"/>
      <c r="S167" s="778"/>
    </row>
    <row r="168" spans="1:19" s="540" customFormat="1" ht="15" x14ac:dyDescent="0.25">
      <c r="A168" s="544" t="s">
        <v>937</v>
      </c>
      <c r="B168" s="615"/>
      <c r="C168" s="616"/>
      <c r="D168" s="617"/>
      <c r="E168" s="617"/>
      <c r="F168" s="782" t="e">
        <f>SUM(F165:F167)</f>
        <v>#REF!</v>
      </c>
      <c r="G168" s="618" t="e">
        <f>SUM(G165:G167)</f>
        <v>#REF!</v>
      </c>
      <c r="H168" s="791" t="s">
        <v>30</v>
      </c>
      <c r="I168" s="696">
        <f>SUM(I165:I167)</f>
        <v>24.75</v>
      </c>
      <c r="J168" s="697">
        <f>SUM(J165:J167)</f>
        <v>10680.7</v>
      </c>
      <c r="K168" s="691"/>
      <c r="L168" s="691"/>
      <c r="M168" s="691"/>
      <c r="N168" s="691"/>
      <c r="O168" s="691"/>
      <c r="P168" s="691"/>
      <c r="Q168" s="691"/>
      <c r="R168" s="780"/>
      <c r="S168" s="780"/>
    </row>
    <row r="169" spans="1:19" s="540" customFormat="1" ht="15.75" thickBot="1" x14ac:dyDescent="0.3">
      <c r="A169" s="2412" t="s">
        <v>962</v>
      </c>
      <c r="B169" s="2413"/>
      <c r="C169" s="2413"/>
      <c r="D169" s="2413"/>
      <c r="E169" s="619"/>
      <c r="F169" s="815" t="e">
        <f>F163+F168</f>
        <v>#REF!</v>
      </c>
      <c r="G169" s="620" t="e">
        <f>G163+G168</f>
        <v>#REF!</v>
      </c>
      <c r="H169" s="791" t="s">
        <v>30</v>
      </c>
      <c r="I169" s="690"/>
      <c r="J169" s="698"/>
      <c r="K169" s="691"/>
      <c r="L169" s="691"/>
      <c r="M169" s="691"/>
      <c r="N169" s="691"/>
      <c r="O169" s="691"/>
      <c r="P169" s="691"/>
      <c r="Q169" s="691"/>
      <c r="R169" s="780"/>
      <c r="S169" s="780"/>
    </row>
    <row r="170" spans="1:19" s="519" customFormat="1" ht="15.75" thickBot="1" x14ac:dyDescent="0.3">
      <c r="A170" s="2305"/>
      <c r="B170" s="2306"/>
      <c r="C170" s="2306"/>
      <c r="D170" s="2306"/>
      <c r="E170" s="2306"/>
      <c r="F170" s="2306"/>
      <c r="G170" s="2307"/>
      <c r="H170" s="791" t="s">
        <v>30</v>
      </c>
      <c r="I170" s="687"/>
      <c r="J170" s="686"/>
      <c r="K170" s="686"/>
      <c r="L170" s="686"/>
      <c r="M170" s="686"/>
      <c r="N170" s="686"/>
      <c r="O170" s="686"/>
      <c r="P170" s="686"/>
      <c r="Q170" s="686"/>
      <c r="R170" s="778"/>
      <c r="S170" s="778"/>
    </row>
    <row r="171" spans="1:19" s="519" customFormat="1" ht="15" x14ac:dyDescent="0.25">
      <c r="A171" s="2331" t="s">
        <v>232</v>
      </c>
      <c r="B171" s="2332"/>
      <c r="C171" s="2332"/>
      <c r="D171" s="2332"/>
      <c r="E171" s="2340"/>
      <c r="F171" s="2404" t="s">
        <v>230</v>
      </c>
      <c r="G171" s="2405"/>
      <c r="H171" s="791" t="s">
        <v>30</v>
      </c>
      <c r="I171" s="686"/>
      <c r="J171" s="686"/>
      <c r="K171" s="686"/>
      <c r="L171" s="686"/>
      <c r="M171" s="686"/>
      <c r="N171" s="686"/>
      <c r="O171" s="686"/>
      <c r="P171" s="686"/>
      <c r="Q171" s="686"/>
      <c r="R171" s="778"/>
      <c r="S171" s="778"/>
    </row>
    <row r="172" spans="1:19" s="519" customFormat="1" ht="15.75" thickBot="1" x14ac:dyDescent="0.3">
      <c r="A172" s="2328"/>
      <c r="B172" s="2329"/>
      <c r="C172" s="2329"/>
      <c r="D172" s="2329"/>
      <c r="E172" s="2330"/>
      <c r="F172" s="2406"/>
      <c r="G172" s="2407"/>
      <c r="H172" s="791" t="s">
        <v>30</v>
      </c>
      <c r="I172" s="687"/>
      <c r="J172" s="686"/>
      <c r="K172" s="686"/>
      <c r="L172" s="686"/>
      <c r="M172" s="686"/>
      <c r="N172" s="686"/>
      <c r="O172" s="686"/>
      <c r="P172" s="686"/>
      <c r="Q172" s="686"/>
      <c r="R172" s="778"/>
      <c r="S172" s="778"/>
    </row>
    <row r="173" spans="1:19" s="519" customFormat="1" ht="15" x14ac:dyDescent="0.25">
      <c r="A173" s="2331" t="s">
        <v>946</v>
      </c>
      <c r="B173" s="2332"/>
      <c r="C173" s="2332"/>
      <c r="D173" s="2332"/>
      <c r="E173" s="2332"/>
      <c r="F173" s="2408">
        <f ca="1">TODAY()</f>
        <v>45398</v>
      </c>
      <c r="G173" s="2409"/>
      <c r="H173" s="791" t="s">
        <v>30</v>
      </c>
      <c r="I173" s="686"/>
      <c r="J173" s="686"/>
      <c r="K173" s="686"/>
      <c r="L173" s="686"/>
      <c r="M173" s="686"/>
      <c r="N173" s="686"/>
      <c r="O173" s="686"/>
      <c r="P173" s="686"/>
      <c r="Q173" s="686"/>
      <c r="R173" s="778"/>
      <c r="S173" s="778"/>
    </row>
    <row r="174" spans="1:19" s="519" customFormat="1" ht="18" customHeight="1" thickBot="1" x14ac:dyDescent="0.3">
      <c r="A174" s="2337"/>
      <c r="B174" s="2338"/>
      <c r="C174" s="2338"/>
      <c r="D174" s="2338"/>
      <c r="E174" s="2339"/>
      <c r="F174" s="2410"/>
      <c r="G174" s="2411"/>
      <c r="H174" s="791" t="s">
        <v>30</v>
      </c>
      <c r="I174" s="686"/>
      <c r="J174" s="686"/>
      <c r="K174" s="686"/>
      <c r="L174" s="686"/>
      <c r="M174" s="686"/>
      <c r="N174" s="686"/>
      <c r="O174" s="686"/>
      <c r="P174" s="686"/>
      <c r="Q174" s="686"/>
      <c r="R174" s="778"/>
      <c r="S174" s="778"/>
    </row>
    <row r="175" spans="1:19" s="5" customFormat="1" ht="15.75" x14ac:dyDescent="0.25">
      <c r="A175" s="2414" t="s">
        <v>229</v>
      </c>
      <c r="B175" s="2415"/>
      <c r="C175" s="2415"/>
      <c r="D175" s="2415"/>
      <c r="E175" s="2415"/>
      <c r="F175" s="2415"/>
      <c r="G175" s="2416"/>
      <c r="H175" s="793" t="s">
        <v>297</v>
      </c>
      <c r="I175" s="699"/>
      <c r="J175" s="699"/>
      <c r="K175" s="699"/>
      <c r="L175" s="700"/>
      <c r="M175" s="700"/>
      <c r="N175" s="700"/>
      <c r="O175" s="700"/>
      <c r="P175" s="700"/>
      <c r="Q175" s="700"/>
      <c r="R175" s="783"/>
      <c r="S175" s="783"/>
    </row>
    <row r="176" spans="1:19" s="5" customFormat="1" ht="17.25" customHeight="1" x14ac:dyDescent="0.25">
      <c r="A176" s="2311" t="s">
        <v>925</v>
      </c>
      <c r="B176" s="2312"/>
      <c r="C176" s="2312"/>
      <c r="D176" s="2312"/>
      <c r="E176" s="2312"/>
      <c r="F176" s="2312"/>
      <c r="G176" s="2313"/>
      <c r="H176" s="793" t="s">
        <v>297</v>
      </c>
      <c r="I176" s="699"/>
      <c r="J176" s="699"/>
      <c r="K176" s="699"/>
      <c r="L176" s="700"/>
      <c r="M176" s="700"/>
      <c r="N176" s="700"/>
      <c r="O176" s="700"/>
      <c r="P176" s="700"/>
      <c r="Q176" s="700"/>
      <c r="R176" s="783"/>
      <c r="S176" s="783"/>
    </row>
    <row r="177" spans="1:19" s="5" customFormat="1" ht="15.75" x14ac:dyDescent="0.25">
      <c r="A177" s="621" t="s">
        <v>963</v>
      </c>
      <c r="B177" s="2417"/>
      <c r="C177" s="2417"/>
      <c r="D177" s="622"/>
      <c r="E177" s="2418"/>
      <c r="F177" s="2418"/>
      <c r="G177" s="2419"/>
      <c r="H177" s="793" t="s">
        <v>297</v>
      </c>
      <c r="I177" s="699"/>
      <c r="J177" s="701"/>
      <c r="K177" s="699"/>
      <c r="L177" s="700"/>
      <c r="M177" s="700"/>
      <c r="N177" s="700"/>
      <c r="O177" s="700"/>
      <c r="P177" s="700"/>
      <c r="Q177" s="700"/>
      <c r="R177" s="783"/>
      <c r="S177" s="783"/>
    </row>
    <row r="178" spans="1:19" s="5" customFormat="1" ht="16.5" thickBot="1" x14ac:dyDescent="0.3">
      <c r="A178" s="1932"/>
      <c r="B178" s="1933"/>
      <c r="C178" s="1933"/>
      <c r="D178" s="1933"/>
      <c r="E178" s="1933"/>
      <c r="F178" s="1933"/>
      <c r="G178" s="2420"/>
      <c r="H178" s="793" t="s">
        <v>297</v>
      </c>
      <c r="I178" s="699"/>
      <c r="J178" s="699"/>
      <c r="K178" s="699"/>
      <c r="L178" s="700"/>
      <c r="M178" s="700"/>
      <c r="N178" s="700"/>
      <c r="O178" s="700"/>
      <c r="P178" s="700"/>
      <c r="Q178" s="700"/>
      <c r="R178" s="783"/>
      <c r="S178" s="783"/>
    </row>
    <row r="179" spans="1:19" s="5" customFormat="1" ht="21.75" customHeight="1" thickBot="1" x14ac:dyDescent="0.3">
      <c r="A179" s="2421" t="s">
        <v>926</v>
      </c>
      <c r="B179" s="2421" t="s">
        <v>226</v>
      </c>
      <c r="C179" s="2423" t="s">
        <v>964</v>
      </c>
      <c r="D179" s="1932" t="s">
        <v>227</v>
      </c>
      <c r="E179" s="2424"/>
      <c r="F179" s="1932" t="s">
        <v>928</v>
      </c>
      <c r="G179" s="2420"/>
      <c r="H179" s="793" t="s">
        <v>297</v>
      </c>
      <c r="I179" s="2438"/>
      <c r="J179" s="2438"/>
      <c r="K179" s="2438"/>
      <c r="L179" s="700"/>
      <c r="M179" s="700"/>
      <c r="N179" s="700"/>
      <c r="O179" s="700"/>
      <c r="P179" s="700"/>
      <c r="Q179" s="700"/>
      <c r="R179" s="783"/>
      <c r="S179" s="783"/>
    </row>
    <row r="180" spans="1:19" s="5" customFormat="1" ht="19.5" customHeight="1" x14ac:dyDescent="0.25">
      <c r="A180" s="2421"/>
      <c r="B180" s="2421"/>
      <c r="C180" s="2364"/>
      <c r="D180" s="2439" t="s">
        <v>219</v>
      </c>
      <c r="E180" s="2299" t="s">
        <v>929</v>
      </c>
      <c r="F180" s="2441" t="s">
        <v>219</v>
      </c>
      <c r="G180" s="2443" t="s">
        <v>929</v>
      </c>
      <c r="H180" s="793" t="s">
        <v>297</v>
      </c>
      <c r="I180" s="2445"/>
      <c r="J180" s="2445"/>
      <c r="K180" s="2445"/>
      <c r="L180" s="700"/>
      <c r="M180" s="700"/>
      <c r="N180" s="700"/>
      <c r="O180" s="700"/>
      <c r="P180" s="700"/>
      <c r="Q180" s="700"/>
      <c r="R180" s="783"/>
      <c r="S180" s="783"/>
    </row>
    <row r="181" spans="1:19" s="5" customFormat="1" ht="16.5" thickBot="1" x14ac:dyDescent="0.3">
      <c r="A181" s="2422"/>
      <c r="B181" s="2422"/>
      <c r="C181" s="2365"/>
      <c r="D181" s="2440"/>
      <c r="E181" s="2300"/>
      <c r="F181" s="2442"/>
      <c r="G181" s="2444"/>
      <c r="H181" s="793" t="s">
        <v>297</v>
      </c>
      <c r="I181" s="2446"/>
      <c r="J181" s="2446"/>
      <c r="K181" s="2446"/>
      <c r="L181" s="700"/>
      <c r="M181" s="700"/>
      <c r="N181" s="700"/>
      <c r="O181" s="700"/>
      <c r="P181" s="700"/>
      <c r="Q181" s="700"/>
      <c r="R181" s="783"/>
      <c r="S181" s="783"/>
    </row>
    <row r="182" spans="1:19" s="5" customFormat="1" ht="16.5" thickBot="1" x14ac:dyDescent="0.3">
      <c r="A182" s="623">
        <v>1</v>
      </c>
      <c r="B182" s="623">
        <v>2</v>
      </c>
      <c r="C182" s="623">
        <v>3</v>
      </c>
      <c r="D182" s="623">
        <v>4</v>
      </c>
      <c r="E182" s="623">
        <v>5</v>
      </c>
      <c r="F182" s="816">
        <v>6</v>
      </c>
      <c r="G182" s="623">
        <v>7</v>
      </c>
      <c r="H182" s="793" t="s">
        <v>297</v>
      </c>
      <c r="I182" s="701"/>
      <c r="J182" s="701"/>
      <c r="K182" s="701"/>
      <c r="L182" s="700"/>
      <c r="M182" s="700"/>
      <c r="N182" s="700"/>
      <c r="O182" s="700"/>
      <c r="P182" s="700"/>
      <c r="Q182" s="700"/>
      <c r="R182" s="783"/>
      <c r="S182" s="783"/>
    </row>
    <row r="183" spans="1:19" s="114" customFormat="1" ht="16.5" thickBot="1" x14ac:dyDescent="0.3">
      <c r="A183" s="624" t="s">
        <v>295</v>
      </c>
      <c r="B183" s="625" t="s">
        <v>949</v>
      </c>
      <c r="C183" s="626">
        <v>38330</v>
      </c>
      <c r="D183" s="627">
        <v>0.05</v>
      </c>
      <c r="E183" s="627">
        <f>D183*0.4</f>
        <v>2.0000000000000004E-2</v>
      </c>
      <c r="F183" s="817">
        <f>C183*D183</f>
        <v>1916.5</v>
      </c>
      <c r="G183" s="628">
        <f>C183*E183</f>
        <v>766.60000000000014</v>
      </c>
      <c r="H183" s="793" t="s">
        <v>297</v>
      </c>
      <c r="I183" s="702"/>
      <c r="J183" s="702"/>
      <c r="K183" s="702"/>
      <c r="L183" s="703"/>
      <c r="M183" s="703"/>
      <c r="N183" s="703"/>
      <c r="O183" s="703"/>
      <c r="P183" s="703"/>
      <c r="Q183" s="703"/>
      <c r="R183" s="784"/>
      <c r="S183" s="784"/>
    </row>
    <row r="184" spans="1:19" s="114" customFormat="1" ht="16.5" thickBot="1" x14ac:dyDescent="0.3">
      <c r="A184" s="629"/>
      <c r="B184" s="630"/>
      <c r="C184" s="631"/>
      <c r="D184" s="632"/>
      <c r="E184" s="632"/>
      <c r="F184" s="818"/>
      <c r="G184" s="628"/>
      <c r="H184" s="793" t="s">
        <v>297</v>
      </c>
      <c r="I184" s="702"/>
      <c r="J184" s="702"/>
      <c r="K184" s="702"/>
      <c r="L184" s="703"/>
      <c r="M184" s="703"/>
      <c r="N184" s="703"/>
      <c r="O184" s="703"/>
      <c r="P184" s="703"/>
      <c r="Q184" s="703"/>
      <c r="R184" s="784"/>
      <c r="S184" s="784"/>
    </row>
    <row r="185" spans="1:19" s="114" customFormat="1" ht="16.5" thickBot="1" x14ac:dyDescent="0.3">
      <c r="A185" s="629" t="s">
        <v>941</v>
      </c>
      <c r="B185" s="40"/>
      <c r="C185" s="633"/>
      <c r="D185" s="634"/>
      <c r="E185" s="634"/>
      <c r="F185" s="819"/>
      <c r="G185" s="628"/>
      <c r="H185" s="793" t="s">
        <v>297</v>
      </c>
      <c r="I185" s="702"/>
      <c r="J185" s="702"/>
      <c r="K185" s="702"/>
      <c r="L185" s="703"/>
      <c r="M185" s="703"/>
      <c r="N185" s="703"/>
      <c r="O185" s="703"/>
      <c r="P185" s="703"/>
      <c r="Q185" s="703"/>
      <c r="R185" s="784"/>
      <c r="S185" s="784"/>
    </row>
    <row r="186" spans="1:19" s="640" customFormat="1" ht="16.5" thickBot="1" x14ac:dyDescent="0.3">
      <c r="A186" s="636" t="s">
        <v>942</v>
      </c>
      <c r="B186" s="637" t="s">
        <v>437</v>
      </c>
      <c r="C186" s="638">
        <v>0.9</v>
      </c>
      <c r="D186" s="639">
        <f>E186*1.05</f>
        <v>703.5</v>
      </c>
      <c r="E186" s="635">
        <v>670</v>
      </c>
      <c r="F186" s="820">
        <f t="shared" ref="F186:F191" si="12">C186*D186</f>
        <v>633.15</v>
      </c>
      <c r="G186" s="628">
        <f t="shared" ref="G186:G191" si="13">C186*E186</f>
        <v>603</v>
      </c>
      <c r="H186" s="793" t="s">
        <v>297</v>
      </c>
      <c r="I186" s="704"/>
      <c r="J186" s="704"/>
      <c r="K186" s="704"/>
      <c r="L186" s="705"/>
      <c r="M186" s="705"/>
      <c r="N186" s="705"/>
      <c r="O186" s="705"/>
      <c r="P186" s="705"/>
      <c r="Q186" s="705"/>
      <c r="R186" s="785"/>
      <c r="S186" s="785"/>
    </row>
    <row r="187" spans="1:19" s="640" customFormat="1" ht="16.5" thickBot="1" x14ac:dyDescent="0.3">
      <c r="A187" s="636" t="s">
        <v>284</v>
      </c>
      <c r="B187" s="637" t="s">
        <v>437</v>
      </c>
      <c r="C187" s="638">
        <v>0.2</v>
      </c>
      <c r="D187" s="534">
        <f>FERTILIZANTES!S$63</f>
        <v>3000</v>
      </c>
      <c r="E187" s="635">
        <v>490</v>
      </c>
      <c r="F187" s="820">
        <f t="shared" si="12"/>
        <v>600</v>
      </c>
      <c r="G187" s="628">
        <f t="shared" si="13"/>
        <v>98</v>
      </c>
      <c r="H187" s="793" t="s">
        <v>297</v>
      </c>
      <c r="I187" s="704"/>
      <c r="J187" s="704"/>
      <c r="K187" s="704"/>
      <c r="L187" s="705"/>
      <c r="M187" s="705"/>
      <c r="N187" s="705"/>
      <c r="O187" s="705"/>
      <c r="P187" s="705"/>
      <c r="Q187" s="705"/>
      <c r="R187" s="785"/>
      <c r="S187" s="785"/>
    </row>
    <row r="188" spans="1:19" s="5" customFormat="1" ht="16.5" thickBot="1" x14ac:dyDescent="0.3">
      <c r="A188" s="636" t="s">
        <v>965</v>
      </c>
      <c r="B188" s="641" t="s">
        <v>292</v>
      </c>
      <c r="C188" s="642">
        <v>37.44</v>
      </c>
      <c r="D188" s="639">
        <v>8.9499999999999993</v>
      </c>
      <c r="E188" s="639">
        <f>D188*0.4</f>
        <v>3.58</v>
      </c>
      <c r="F188" s="820">
        <f t="shared" si="12"/>
        <v>335.08799999999997</v>
      </c>
      <c r="G188" s="628">
        <f t="shared" si="13"/>
        <v>134.0352</v>
      </c>
      <c r="H188" s="793" t="s">
        <v>297</v>
      </c>
      <c r="I188" s="704"/>
      <c r="J188" s="704"/>
      <c r="K188" s="704"/>
      <c r="L188" s="700"/>
      <c r="M188" s="700"/>
      <c r="N188" s="700"/>
      <c r="O188" s="700"/>
      <c r="P188" s="700"/>
      <c r="Q188" s="700"/>
      <c r="R188" s="783"/>
      <c r="S188" s="783"/>
    </row>
    <row r="189" spans="1:19" s="5" customFormat="1" ht="16.5" thickBot="1" x14ac:dyDescent="0.3">
      <c r="A189" s="636" t="s">
        <v>285</v>
      </c>
      <c r="B189" s="641" t="s">
        <v>291</v>
      </c>
      <c r="C189" s="642">
        <v>4</v>
      </c>
      <c r="D189" s="639">
        <f>E189*1.05</f>
        <v>9.4500000000000011</v>
      </c>
      <c r="E189" s="639">
        <v>9</v>
      </c>
      <c r="F189" s="820">
        <f t="shared" si="12"/>
        <v>37.800000000000004</v>
      </c>
      <c r="G189" s="628">
        <f t="shared" si="13"/>
        <v>36</v>
      </c>
      <c r="H189" s="793" t="s">
        <v>297</v>
      </c>
      <c r="I189" s="704"/>
      <c r="J189" s="704"/>
      <c r="K189" s="704"/>
      <c r="L189" s="700"/>
      <c r="M189" s="700"/>
      <c r="N189" s="700"/>
      <c r="O189" s="700"/>
      <c r="P189" s="700"/>
      <c r="Q189" s="700"/>
      <c r="R189" s="783"/>
      <c r="S189" s="783"/>
    </row>
    <row r="190" spans="1:19" s="5" customFormat="1" ht="16.5" thickBot="1" x14ac:dyDescent="0.3">
      <c r="A190" s="636" t="s">
        <v>439</v>
      </c>
      <c r="B190" s="641" t="s">
        <v>291</v>
      </c>
      <c r="C190" s="642">
        <v>3</v>
      </c>
      <c r="D190" s="639">
        <f>E190*1.05</f>
        <v>6.9719999999999995</v>
      </c>
      <c r="E190" s="639">
        <v>6.64</v>
      </c>
      <c r="F190" s="820">
        <f t="shared" si="12"/>
        <v>20.915999999999997</v>
      </c>
      <c r="G190" s="628">
        <f t="shared" si="13"/>
        <v>19.919999999999998</v>
      </c>
      <c r="H190" s="793" t="s">
        <v>297</v>
      </c>
      <c r="I190" s="704">
        <f>E190*5%</f>
        <v>0.33200000000000002</v>
      </c>
      <c r="J190" s="704"/>
      <c r="K190" s="704"/>
      <c r="L190" s="700"/>
      <c r="M190" s="700"/>
      <c r="N190" s="700"/>
      <c r="O190" s="700"/>
      <c r="P190" s="700"/>
      <c r="Q190" s="700"/>
      <c r="R190" s="783"/>
      <c r="S190" s="783"/>
    </row>
    <row r="191" spans="1:19" s="5" customFormat="1" ht="16.5" thickBot="1" x14ac:dyDescent="0.3">
      <c r="A191" s="636" t="s">
        <v>966</v>
      </c>
      <c r="B191" s="641" t="s">
        <v>967</v>
      </c>
      <c r="C191" s="642">
        <v>370</v>
      </c>
      <c r="D191" s="639">
        <f>E191*1.05</f>
        <v>0.36749999999999999</v>
      </c>
      <c r="E191" s="639">
        <v>0.35</v>
      </c>
      <c r="F191" s="820">
        <f t="shared" si="12"/>
        <v>135.97499999999999</v>
      </c>
      <c r="G191" s="628">
        <f t="shared" si="13"/>
        <v>129.5</v>
      </c>
      <c r="H191" s="793" t="s">
        <v>297</v>
      </c>
      <c r="I191" s="704"/>
      <c r="J191" s="704"/>
      <c r="K191" s="704"/>
      <c r="L191" s="700"/>
      <c r="M191" s="700"/>
      <c r="N191" s="700"/>
      <c r="O191" s="700"/>
      <c r="P191" s="700"/>
      <c r="Q191" s="700"/>
      <c r="R191" s="783"/>
      <c r="S191" s="783"/>
    </row>
    <row r="192" spans="1:19" s="111" customFormat="1" ht="16.5" thickBot="1" x14ac:dyDescent="0.3">
      <c r="A192" s="629" t="s">
        <v>931</v>
      </c>
      <c r="B192" s="643"/>
      <c r="C192" s="644"/>
      <c r="D192" s="645"/>
      <c r="E192" s="645"/>
      <c r="F192" s="746">
        <v>210</v>
      </c>
      <c r="G192" s="646">
        <v>40</v>
      </c>
      <c r="H192" s="793" t="s">
        <v>297</v>
      </c>
      <c r="I192" s="702"/>
      <c r="J192" s="702"/>
      <c r="K192" s="702"/>
      <c r="L192" s="706"/>
      <c r="M192" s="706"/>
      <c r="N192" s="706"/>
      <c r="O192" s="706"/>
      <c r="P192" s="706"/>
      <c r="Q192" s="706"/>
      <c r="R192" s="184"/>
      <c r="S192" s="184"/>
    </row>
    <row r="193" spans="1:19" s="2" customFormat="1" ht="16.5" thickBot="1" x14ac:dyDescent="0.3">
      <c r="A193" s="629" t="s">
        <v>932</v>
      </c>
      <c r="B193" s="647"/>
      <c r="C193" s="648"/>
      <c r="D193" s="649"/>
      <c r="E193" s="649"/>
      <c r="F193" s="746">
        <f>F183+F186+F187+F188+F189+F190+F191+F192</f>
        <v>3889.4290000000005</v>
      </c>
      <c r="G193" s="650">
        <f>G183+G186+G187+G188+G189+G190+G192</f>
        <v>1697.5552000000002</v>
      </c>
      <c r="H193" s="793" t="s">
        <v>297</v>
      </c>
      <c r="I193" s="707"/>
      <c r="J193" s="707"/>
      <c r="K193" s="707"/>
      <c r="L193" s="706"/>
      <c r="M193" s="706"/>
      <c r="N193" s="706"/>
      <c r="O193" s="706"/>
      <c r="P193" s="706"/>
      <c r="Q193" s="706"/>
      <c r="R193" s="184"/>
      <c r="S193" s="184"/>
    </row>
    <row r="194" spans="1:19" s="5" customFormat="1" ht="16.5" thickBot="1" x14ac:dyDescent="0.3">
      <c r="A194" s="629" t="s">
        <v>933</v>
      </c>
      <c r="B194" s="641"/>
      <c r="C194" s="642"/>
      <c r="D194" s="639"/>
      <c r="E194" s="639"/>
      <c r="F194" s="820"/>
      <c r="G194" s="651"/>
      <c r="H194" s="793" t="s">
        <v>297</v>
      </c>
      <c r="I194" s="708"/>
      <c r="J194" s="708"/>
      <c r="K194" s="699"/>
      <c r="L194" s="700"/>
      <c r="M194" s="700"/>
      <c r="N194" s="700"/>
      <c r="O194" s="700"/>
      <c r="P194" s="700"/>
      <c r="Q194" s="700"/>
      <c r="R194" s="783"/>
      <c r="S194" s="783"/>
    </row>
    <row r="195" spans="1:19" s="5" customFormat="1" ht="16.5" thickBot="1" x14ac:dyDescent="0.3">
      <c r="A195" s="636" t="s">
        <v>283</v>
      </c>
      <c r="B195" s="641" t="s">
        <v>934</v>
      </c>
      <c r="C195" s="642">
        <v>6.65</v>
      </c>
      <c r="D195" s="639">
        <v>18</v>
      </c>
      <c r="E195" s="639">
        <f>D195*0.4</f>
        <v>7.2</v>
      </c>
      <c r="F195" s="820">
        <f>C195*D195</f>
        <v>119.7</v>
      </c>
      <c r="G195" s="639">
        <f>C195*E195</f>
        <v>47.88</v>
      </c>
      <c r="H195" s="793" t="s">
        <v>297</v>
      </c>
      <c r="I195" s="708"/>
      <c r="J195" s="708">
        <f>F195</f>
        <v>119.7</v>
      </c>
      <c r="K195" s="699"/>
      <c r="L195" s="700"/>
      <c r="M195" s="700"/>
      <c r="N195" s="700"/>
      <c r="O195" s="700"/>
      <c r="P195" s="700"/>
      <c r="Q195" s="700"/>
      <c r="R195" s="783"/>
      <c r="S195" s="783"/>
    </row>
    <row r="196" spans="1:19" s="5" customFormat="1" ht="16.5" thickBot="1" x14ac:dyDescent="0.3">
      <c r="A196" s="636" t="s">
        <v>234</v>
      </c>
      <c r="B196" s="641" t="s">
        <v>291</v>
      </c>
      <c r="C196" s="642">
        <v>202.48</v>
      </c>
      <c r="D196" s="639">
        <v>1</v>
      </c>
      <c r="E196" s="639">
        <v>1</v>
      </c>
      <c r="F196" s="820">
        <f>C196*D196</f>
        <v>202.48</v>
      </c>
      <c r="G196" s="639">
        <f>C196*E196</f>
        <v>202.48</v>
      </c>
      <c r="H196" s="793" t="s">
        <v>297</v>
      </c>
      <c r="I196" s="708">
        <v>24.75</v>
      </c>
      <c r="J196" s="708">
        <f>C196*I196</f>
        <v>5011.38</v>
      </c>
      <c r="K196" s="708"/>
      <c r="L196" s="700"/>
      <c r="M196" s="700"/>
      <c r="N196" s="700"/>
      <c r="O196" s="700"/>
      <c r="P196" s="700"/>
      <c r="Q196" s="700"/>
      <c r="R196" s="783"/>
      <c r="S196" s="783"/>
    </row>
    <row r="197" spans="1:19" s="5" customFormat="1" ht="16.5" thickBot="1" x14ac:dyDescent="0.3">
      <c r="A197" s="636" t="s">
        <v>935</v>
      </c>
      <c r="B197" s="641" t="s">
        <v>936</v>
      </c>
      <c r="C197" s="642">
        <v>1007</v>
      </c>
      <c r="D197" s="639">
        <v>0.17</v>
      </c>
      <c r="E197" s="639">
        <f>D197*0.4</f>
        <v>6.8000000000000005E-2</v>
      </c>
      <c r="F197" s="820">
        <f>C197*D197</f>
        <v>171.19000000000003</v>
      </c>
      <c r="G197" s="639">
        <f>C197*E197</f>
        <v>68.475999999999999</v>
      </c>
      <c r="H197" s="793" t="s">
        <v>297</v>
      </c>
      <c r="I197" s="708"/>
      <c r="J197" s="708">
        <f>F197</f>
        <v>171.19000000000003</v>
      </c>
      <c r="K197" s="708"/>
      <c r="L197" s="700"/>
      <c r="M197" s="700"/>
      <c r="N197" s="700"/>
      <c r="O197" s="700"/>
      <c r="P197" s="700"/>
      <c r="Q197" s="700"/>
      <c r="R197" s="783"/>
      <c r="S197" s="783"/>
    </row>
    <row r="198" spans="1:19" s="2" customFormat="1" ht="15.75" x14ac:dyDescent="0.25">
      <c r="A198" s="652" t="s">
        <v>937</v>
      </c>
      <c r="B198" s="647"/>
      <c r="C198" s="649"/>
      <c r="D198" s="649"/>
      <c r="E198" s="649"/>
      <c r="F198" s="746">
        <f>SUM(F195:F197)</f>
        <v>493.37</v>
      </c>
      <c r="G198" s="649">
        <f>SUM(G195:G197)</f>
        <v>318.83600000000001</v>
      </c>
      <c r="H198" s="793" t="s">
        <v>297</v>
      </c>
      <c r="I198" s="707"/>
      <c r="J198" s="707">
        <f>SUM(J195:J197)</f>
        <v>5302.2699999999995</v>
      </c>
      <c r="K198" s="707"/>
      <c r="L198" s="706"/>
      <c r="M198" s="706"/>
      <c r="N198" s="706"/>
      <c r="O198" s="706"/>
      <c r="P198" s="706"/>
      <c r="Q198" s="706"/>
      <c r="R198" s="184"/>
      <c r="S198" s="184"/>
    </row>
    <row r="199" spans="1:19" s="5" customFormat="1" ht="16.5" thickBot="1" x14ac:dyDescent="0.3">
      <c r="A199" s="653" t="s">
        <v>938</v>
      </c>
      <c r="B199" s="654"/>
      <c r="C199" s="655"/>
      <c r="D199" s="655"/>
      <c r="E199" s="655"/>
      <c r="F199" s="821">
        <f>F193+F198</f>
        <v>4382.7990000000009</v>
      </c>
      <c r="G199" s="656">
        <f>G193+G198</f>
        <v>2016.3912000000003</v>
      </c>
      <c r="H199" s="793" t="s">
        <v>297</v>
      </c>
      <c r="I199" s="702"/>
      <c r="J199" s="702"/>
      <c r="K199" s="702"/>
      <c r="L199" s="700"/>
      <c r="M199" s="700"/>
      <c r="N199" s="700"/>
      <c r="O199" s="700"/>
      <c r="P199" s="700"/>
      <c r="Q199" s="700"/>
      <c r="R199" s="783"/>
      <c r="S199" s="783"/>
    </row>
    <row r="200" spans="1:19" s="5" customFormat="1" ht="16.5" thickBot="1" x14ac:dyDescent="0.3">
      <c r="A200" s="657" t="s">
        <v>968</v>
      </c>
      <c r="B200" s="658"/>
      <c r="C200" s="659"/>
      <c r="D200" s="659"/>
      <c r="E200" s="659"/>
      <c r="F200" s="822">
        <f>F199-F192</f>
        <v>4172.7990000000009</v>
      </c>
      <c r="G200" s="660">
        <f>G199-G192</f>
        <v>1976.3912000000003</v>
      </c>
      <c r="H200" s="793" t="s">
        <v>297</v>
      </c>
      <c r="I200" s="702"/>
      <c r="J200" s="702"/>
      <c r="K200" s="702"/>
      <c r="L200" s="700"/>
      <c r="M200" s="700"/>
      <c r="N200" s="700"/>
      <c r="O200" s="700"/>
      <c r="P200" s="700"/>
      <c r="Q200" s="700"/>
      <c r="R200" s="783"/>
      <c r="S200" s="783"/>
    </row>
    <row r="201" spans="1:19" s="5" customFormat="1" ht="16.5" thickBot="1" x14ac:dyDescent="0.3">
      <c r="A201" s="2425"/>
      <c r="B201" s="2426"/>
      <c r="C201" s="2426"/>
      <c r="D201" s="2426"/>
      <c r="E201" s="2426"/>
      <c r="F201" s="2426"/>
      <c r="G201" s="2427"/>
      <c r="H201" s="793" t="s">
        <v>297</v>
      </c>
      <c r="I201" s="709"/>
      <c r="J201" s="699"/>
      <c r="K201" s="699"/>
      <c r="L201" s="700"/>
      <c r="M201" s="700"/>
      <c r="N201" s="700"/>
      <c r="O201" s="700"/>
      <c r="P201" s="700"/>
      <c r="Q201" s="700"/>
      <c r="R201" s="783"/>
      <c r="S201" s="783"/>
    </row>
    <row r="202" spans="1:19" s="5" customFormat="1" ht="16.5" thickBot="1" x14ac:dyDescent="0.3">
      <c r="A202" s="2428" t="s">
        <v>232</v>
      </c>
      <c r="B202" s="2429"/>
      <c r="C202" s="2429"/>
      <c r="D202" s="2429"/>
      <c r="E202" s="2430"/>
      <c r="F202" s="2431" t="s">
        <v>230</v>
      </c>
      <c r="G202" s="2432"/>
      <c r="H202" s="793" t="s">
        <v>297</v>
      </c>
      <c r="I202" s="699"/>
      <c r="J202" s="699"/>
      <c r="K202" s="699"/>
      <c r="L202" s="700"/>
      <c r="M202" s="700"/>
      <c r="N202" s="700"/>
      <c r="O202" s="700"/>
      <c r="P202" s="700"/>
      <c r="Q202" s="700"/>
      <c r="R202" s="783"/>
      <c r="S202" s="783"/>
    </row>
    <row r="203" spans="1:19" s="5" customFormat="1" ht="16.5" thickBot="1" x14ac:dyDescent="0.3">
      <c r="A203" s="2433"/>
      <c r="B203" s="2434"/>
      <c r="C203" s="2434"/>
      <c r="D203" s="2434"/>
      <c r="E203" s="2435"/>
      <c r="F203" s="2436">
        <f ca="1">TODAY()</f>
        <v>45398</v>
      </c>
      <c r="G203" s="2437"/>
      <c r="H203" s="793" t="s">
        <v>297</v>
      </c>
      <c r="I203" s="709"/>
      <c r="J203" s="699"/>
      <c r="K203" s="699"/>
      <c r="L203" s="700"/>
      <c r="M203" s="700"/>
      <c r="N203" s="700"/>
      <c r="O203" s="700"/>
      <c r="P203" s="700"/>
      <c r="Q203" s="700"/>
      <c r="R203" s="783"/>
      <c r="S203" s="783"/>
    </row>
    <row r="204" spans="1:19" s="5" customFormat="1" ht="15.75" customHeight="1" x14ac:dyDescent="0.25">
      <c r="A204" s="2428" t="s">
        <v>969</v>
      </c>
      <c r="B204" s="2429"/>
      <c r="C204" s="2429"/>
      <c r="D204" s="2429"/>
      <c r="E204" s="2429"/>
      <c r="F204" s="2447"/>
      <c r="G204" s="2448"/>
      <c r="H204" s="793" t="s">
        <v>297</v>
      </c>
      <c r="I204" s="699"/>
      <c r="J204" s="699"/>
      <c r="K204" s="699"/>
      <c r="L204" s="700"/>
      <c r="M204" s="700"/>
      <c r="N204" s="700"/>
      <c r="O204" s="700"/>
      <c r="P204" s="700"/>
      <c r="Q204" s="700"/>
      <c r="R204" s="783"/>
      <c r="S204" s="783"/>
    </row>
    <row r="205" spans="1:19" s="5" customFormat="1" ht="18.75" customHeight="1" thickBot="1" x14ac:dyDescent="0.3">
      <c r="A205" s="2455"/>
      <c r="B205" s="2456"/>
      <c r="C205" s="2456"/>
      <c r="D205" s="2456"/>
      <c r="E205" s="2457"/>
      <c r="F205" s="2449"/>
      <c r="G205" s="2450"/>
      <c r="H205" s="793" t="s">
        <v>297</v>
      </c>
      <c r="I205" s="699"/>
      <c r="J205" s="699"/>
      <c r="K205" s="699"/>
      <c r="L205" s="700"/>
      <c r="M205" s="700"/>
      <c r="N205" s="700"/>
      <c r="O205" s="700"/>
      <c r="P205" s="700"/>
      <c r="Q205" s="700"/>
      <c r="R205" s="783"/>
      <c r="S205" s="783"/>
    </row>
    <row r="206" spans="1:19" s="111" customFormat="1" ht="15.75" x14ac:dyDescent="0.25">
      <c r="A206" s="2460" t="s">
        <v>229</v>
      </c>
      <c r="B206" s="2461"/>
      <c r="C206" s="2461"/>
      <c r="D206" s="2461"/>
      <c r="E206" s="2461"/>
      <c r="F206" s="823"/>
      <c r="G206" s="512"/>
      <c r="H206" s="794" t="s">
        <v>19</v>
      </c>
      <c r="I206" s="710"/>
      <c r="J206" s="706"/>
      <c r="K206" s="706"/>
      <c r="L206" s="706"/>
      <c r="M206" s="706"/>
      <c r="N206" s="706"/>
      <c r="O206" s="706"/>
      <c r="P206" s="706"/>
      <c r="Q206" s="706"/>
      <c r="R206" s="184"/>
      <c r="S206" s="184"/>
    </row>
    <row r="207" spans="1:19" s="111" customFormat="1" ht="15.75" customHeight="1" x14ac:dyDescent="0.25">
      <c r="A207" s="2458" t="s">
        <v>925</v>
      </c>
      <c r="B207" s="2459"/>
      <c r="C207" s="2459"/>
      <c r="D207" s="2459"/>
      <c r="E207" s="2459"/>
      <c r="F207" s="2459"/>
      <c r="G207" s="2459"/>
      <c r="H207" s="794" t="s">
        <v>19</v>
      </c>
      <c r="I207" s="710"/>
      <c r="J207" s="711"/>
      <c r="K207" s="706"/>
      <c r="L207" s="706"/>
      <c r="M207" s="706"/>
      <c r="N207" s="706"/>
      <c r="O207" s="706"/>
      <c r="P207" s="706"/>
      <c r="Q207" s="706"/>
      <c r="R207" s="184"/>
      <c r="S207" s="184"/>
    </row>
    <row r="208" spans="1:19" s="111" customFormat="1" ht="16.5" thickBot="1" x14ac:dyDescent="0.3">
      <c r="A208" s="678"/>
      <c r="B208" s="510"/>
      <c r="C208" s="679"/>
      <c r="D208" s="679"/>
      <c r="E208" s="679"/>
      <c r="F208" s="824"/>
      <c r="G208" s="679"/>
      <c r="H208" s="794" t="s">
        <v>19</v>
      </c>
      <c r="I208" s="710"/>
      <c r="J208" s="706"/>
      <c r="K208" s="706"/>
      <c r="L208" s="706"/>
      <c r="M208" s="706"/>
      <c r="N208" s="706"/>
      <c r="O208" s="706"/>
      <c r="P208" s="706"/>
      <c r="Q208" s="706"/>
      <c r="R208" s="184"/>
      <c r="S208" s="184"/>
    </row>
    <row r="209" spans="1:19" s="111" customFormat="1" ht="16.5" thickBot="1" x14ac:dyDescent="0.3">
      <c r="A209" s="661"/>
      <c r="B209" s="662"/>
      <c r="C209" s="662" t="s">
        <v>31</v>
      </c>
      <c r="D209" s="663"/>
      <c r="E209" s="663"/>
      <c r="F209" s="825"/>
      <c r="G209" s="663"/>
      <c r="H209" s="794" t="s">
        <v>19</v>
      </c>
      <c r="I209" s="710"/>
      <c r="J209" s="706"/>
      <c r="K209" s="706"/>
      <c r="L209" s="706"/>
      <c r="M209" s="706"/>
      <c r="N209" s="706"/>
      <c r="O209" s="706"/>
      <c r="P209" s="706"/>
      <c r="Q209" s="706"/>
      <c r="R209" s="184"/>
      <c r="S209" s="184"/>
    </row>
    <row r="210" spans="1:19" s="111" customFormat="1" ht="15.75" x14ac:dyDescent="0.25">
      <c r="A210" s="2462" t="s">
        <v>970</v>
      </c>
      <c r="B210" s="2462" t="s">
        <v>226</v>
      </c>
      <c r="C210" s="2217" t="s">
        <v>971</v>
      </c>
      <c r="D210" s="2451" t="s">
        <v>227</v>
      </c>
      <c r="E210" s="2452"/>
      <c r="F210" s="2453" t="s">
        <v>928</v>
      </c>
      <c r="G210" s="2454"/>
      <c r="H210" s="794" t="s">
        <v>19</v>
      </c>
      <c r="I210" s="710"/>
      <c r="J210" s="706"/>
      <c r="K210" s="706"/>
      <c r="L210" s="706"/>
      <c r="M210" s="706"/>
      <c r="N210" s="706"/>
      <c r="O210" s="706"/>
      <c r="P210" s="706"/>
      <c r="Q210" s="706"/>
      <c r="R210" s="184"/>
      <c r="S210" s="184"/>
    </row>
    <row r="211" spans="1:19" s="111" customFormat="1" ht="33" customHeight="1" thickBot="1" x14ac:dyDescent="0.3">
      <c r="A211" s="2463"/>
      <c r="B211" s="2463"/>
      <c r="C211" s="2465"/>
      <c r="D211" s="786" t="s">
        <v>219</v>
      </c>
      <c r="E211" s="787" t="s">
        <v>972</v>
      </c>
      <c r="F211" s="826" t="s">
        <v>219</v>
      </c>
      <c r="G211" s="788" t="s">
        <v>929</v>
      </c>
      <c r="H211" s="794" t="s">
        <v>19</v>
      </c>
      <c r="I211" s="710"/>
      <c r="J211" s="711"/>
      <c r="K211" s="706"/>
      <c r="L211" s="711"/>
      <c r="M211" s="706">
        <f>L211*C214*21.74</f>
        <v>0</v>
      </c>
      <c r="N211" s="706"/>
      <c r="O211" s="706"/>
      <c r="P211" s="706"/>
      <c r="Q211" s="706"/>
      <c r="R211" s="184"/>
      <c r="S211" s="184"/>
    </row>
    <row r="212" spans="1:19" s="111" customFormat="1" ht="16.5" thickBot="1" x14ac:dyDescent="0.3">
      <c r="A212" s="2464"/>
      <c r="B212" s="2464"/>
      <c r="C212" s="2466"/>
      <c r="D212" s="761"/>
      <c r="E212" s="761"/>
      <c r="F212" s="827"/>
      <c r="G212" s="761"/>
      <c r="H212" s="794" t="s">
        <v>19</v>
      </c>
      <c r="I212" s="710"/>
      <c r="J212" s="706"/>
      <c r="K212" s="706"/>
      <c r="L212" s="706"/>
      <c r="M212" s="706">
        <f>6794.19/21.74</f>
        <v>312.52023919043239</v>
      </c>
      <c r="N212" s="706"/>
      <c r="O212" s="706"/>
      <c r="P212" s="706">
        <f>18*21.74</f>
        <v>391.32</v>
      </c>
      <c r="Q212" s="706"/>
      <c r="R212" s="184"/>
      <c r="S212" s="184"/>
    </row>
    <row r="213" spans="1:19" s="115" customFormat="1" ht="16.5" thickBot="1" x14ac:dyDescent="0.3">
      <c r="A213" s="664">
        <v>1</v>
      </c>
      <c r="B213" s="665">
        <v>2</v>
      </c>
      <c r="C213" s="665">
        <v>3</v>
      </c>
      <c r="D213" s="665"/>
      <c r="E213" s="665"/>
      <c r="F213" s="828"/>
      <c r="G213" s="665"/>
      <c r="H213" s="794" t="s">
        <v>19</v>
      </c>
      <c r="I213" s="710"/>
      <c r="J213" s="712"/>
      <c r="K213" s="712"/>
      <c r="L213" s="712"/>
      <c r="M213" s="712">
        <f>M212/17</f>
        <v>18.383543481790142</v>
      </c>
      <c r="N213" s="712"/>
      <c r="O213" s="712"/>
      <c r="P213" s="712"/>
      <c r="Q213" s="712"/>
      <c r="R213" s="789"/>
      <c r="S213" s="789"/>
    </row>
    <row r="214" spans="1:19" s="111" customFormat="1" ht="16.5" thickBot="1" x14ac:dyDescent="0.3">
      <c r="A214" s="666" t="s">
        <v>295</v>
      </c>
      <c r="B214" s="667" t="s">
        <v>437</v>
      </c>
      <c r="C214" s="668">
        <v>2.61</v>
      </c>
      <c r="D214" s="668">
        <f>92*21.74</f>
        <v>2000.08</v>
      </c>
      <c r="E214" s="668"/>
      <c r="F214" s="829">
        <f>C214*D214</f>
        <v>5220.2087999999994</v>
      </c>
      <c r="G214" s="668">
        <f>C214*E214</f>
        <v>0</v>
      </c>
      <c r="H214" s="794" t="s">
        <v>19</v>
      </c>
      <c r="I214" s="710"/>
      <c r="J214" s="711"/>
      <c r="K214" s="706"/>
      <c r="L214" s="706"/>
      <c r="M214" s="706"/>
      <c r="N214" s="706"/>
      <c r="O214" s="706"/>
      <c r="P214" s="706"/>
      <c r="Q214" s="706"/>
      <c r="R214" s="184"/>
      <c r="S214" s="184"/>
    </row>
    <row r="215" spans="1:19" s="111" customFormat="1" ht="16.5" thickBot="1" x14ac:dyDescent="0.3">
      <c r="A215" s="670"/>
      <c r="B215" s="667"/>
      <c r="C215" s="668"/>
      <c r="D215" s="668"/>
      <c r="E215" s="668"/>
      <c r="F215" s="829">
        <f t="shared" ref="F215:F229" si="14">C215*D215</f>
        <v>0</v>
      </c>
      <c r="G215" s="668">
        <f t="shared" ref="G215:G229" si="15">C215*E215</f>
        <v>0</v>
      </c>
      <c r="H215" s="794" t="s">
        <v>19</v>
      </c>
      <c r="I215" s="710"/>
      <c r="J215" s="706"/>
      <c r="K215" s="706"/>
      <c r="L215" s="706"/>
      <c r="M215" s="706"/>
      <c r="N215" s="706"/>
      <c r="O215" s="706"/>
      <c r="P215" s="706">
        <f>662/21.74</f>
        <v>30.450781968721252</v>
      </c>
      <c r="Q215" s="706"/>
      <c r="R215" s="184"/>
      <c r="S215" s="184"/>
    </row>
    <row r="216" spans="1:19" s="111" customFormat="1" ht="16.5" thickBot="1" x14ac:dyDescent="0.3">
      <c r="A216" s="636" t="s">
        <v>942</v>
      </c>
      <c r="B216" s="667" t="s">
        <v>437</v>
      </c>
      <c r="C216" s="668">
        <v>1.34</v>
      </c>
      <c r="D216" s="668">
        <v>703.5</v>
      </c>
      <c r="E216" s="668"/>
      <c r="F216" s="829">
        <f t="shared" si="14"/>
        <v>942.69</v>
      </c>
      <c r="G216" s="668">
        <f t="shared" si="15"/>
        <v>0</v>
      </c>
      <c r="H216" s="794" t="s">
        <v>19</v>
      </c>
      <c r="I216" s="710"/>
      <c r="J216" s="706"/>
      <c r="K216" s="706"/>
      <c r="L216" s="706"/>
      <c r="M216" s="706"/>
      <c r="N216" s="706"/>
      <c r="O216" s="706"/>
      <c r="P216" s="706"/>
      <c r="Q216" s="706"/>
      <c r="R216" s="184"/>
      <c r="S216" s="184"/>
    </row>
    <row r="217" spans="1:19" s="111" customFormat="1" ht="16.5" thickBot="1" x14ac:dyDescent="0.3">
      <c r="A217" s="670" t="s">
        <v>987</v>
      </c>
      <c r="B217" s="667" t="s">
        <v>437</v>
      </c>
      <c r="C217" s="668">
        <v>0.22</v>
      </c>
      <c r="D217" s="534">
        <f>FERTILIZANTES!S$63</f>
        <v>3000</v>
      </c>
      <c r="E217" s="668"/>
      <c r="F217" s="829">
        <f t="shared" si="14"/>
        <v>660</v>
      </c>
      <c r="G217" s="668">
        <f t="shared" si="15"/>
        <v>0</v>
      </c>
      <c r="H217" s="794" t="s">
        <v>19</v>
      </c>
      <c r="I217" s="710"/>
      <c r="J217" s="706"/>
      <c r="K217" s="706"/>
      <c r="L217" s="706"/>
      <c r="M217" s="706"/>
      <c r="N217" s="706"/>
      <c r="O217" s="706"/>
      <c r="P217" s="706"/>
      <c r="Q217" s="706"/>
      <c r="R217" s="184"/>
      <c r="S217" s="184"/>
    </row>
    <row r="218" spans="1:19" s="111" customFormat="1" ht="16.5" thickBot="1" x14ac:dyDescent="0.3">
      <c r="A218" s="670" t="s">
        <v>973</v>
      </c>
      <c r="B218" s="667" t="s">
        <v>292</v>
      </c>
      <c r="C218" s="668">
        <v>0.5</v>
      </c>
      <c r="D218" s="668">
        <v>200.34</v>
      </c>
      <c r="E218" s="668"/>
      <c r="F218" s="829">
        <f t="shared" si="14"/>
        <v>100.17</v>
      </c>
      <c r="G218" s="668">
        <f t="shared" si="15"/>
        <v>0</v>
      </c>
      <c r="H218" s="794" t="s">
        <v>19</v>
      </c>
      <c r="I218" s="710"/>
      <c r="J218" s="706"/>
      <c r="K218" s="706"/>
      <c r="L218" s="706"/>
      <c r="M218" s="706"/>
      <c r="N218" s="706"/>
      <c r="O218" s="706"/>
      <c r="P218" s="706"/>
      <c r="Q218" s="706"/>
      <c r="R218" s="184"/>
      <c r="S218" s="184"/>
    </row>
    <row r="219" spans="1:19" s="111" customFormat="1" ht="16.5" thickBot="1" x14ac:dyDescent="0.3">
      <c r="A219" s="670" t="s">
        <v>439</v>
      </c>
      <c r="B219" s="667" t="s">
        <v>638</v>
      </c>
      <c r="C219" s="668">
        <v>6</v>
      </c>
      <c r="D219" s="668"/>
      <c r="E219" s="668"/>
      <c r="F219" s="829"/>
      <c r="G219" s="668"/>
      <c r="H219" s="794" t="s">
        <v>19</v>
      </c>
      <c r="I219" s="710"/>
      <c r="J219" s="706"/>
      <c r="K219" s="706"/>
      <c r="L219" s="706"/>
      <c r="M219" s="706"/>
      <c r="N219" s="706"/>
      <c r="O219" s="706"/>
      <c r="P219" s="706"/>
      <c r="Q219" s="706"/>
      <c r="R219" s="184"/>
      <c r="S219" s="184"/>
    </row>
    <row r="220" spans="1:19" s="111" customFormat="1" ht="16.5" thickBot="1" x14ac:dyDescent="0.3">
      <c r="A220" s="670" t="s">
        <v>974</v>
      </c>
      <c r="B220" s="667" t="s">
        <v>292</v>
      </c>
      <c r="C220" s="668">
        <v>5</v>
      </c>
      <c r="D220" s="668">
        <v>9.3975000000000009</v>
      </c>
      <c r="E220" s="668"/>
      <c r="F220" s="829">
        <f t="shared" si="14"/>
        <v>46.987500000000004</v>
      </c>
      <c r="G220" s="668">
        <f t="shared" si="15"/>
        <v>0</v>
      </c>
      <c r="H220" s="794" t="s">
        <v>19</v>
      </c>
      <c r="I220" s="710"/>
      <c r="J220" s="706"/>
      <c r="K220" s="706"/>
      <c r="L220" s="706"/>
      <c r="M220" s="706"/>
      <c r="N220" s="706"/>
      <c r="O220" s="706"/>
      <c r="P220" s="706"/>
      <c r="Q220" s="706"/>
      <c r="R220" s="184"/>
      <c r="S220" s="184"/>
    </row>
    <row r="221" spans="1:19" s="111" customFormat="1" ht="16.5" thickBot="1" x14ac:dyDescent="0.3">
      <c r="A221" s="670" t="s">
        <v>975</v>
      </c>
      <c r="B221" s="667" t="s">
        <v>292</v>
      </c>
      <c r="C221" s="668">
        <v>2</v>
      </c>
      <c r="D221" s="668">
        <v>9.3975000000000009</v>
      </c>
      <c r="E221" s="668"/>
      <c r="F221" s="829">
        <f t="shared" si="14"/>
        <v>18.795000000000002</v>
      </c>
      <c r="G221" s="668">
        <f t="shared" si="15"/>
        <v>0</v>
      </c>
      <c r="H221" s="794" t="s">
        <v>19</v>
      </c>
      <c r="I221" s="710"/>
      <c r="J221" s="706"/>
      <c r="K221" s="706"/>
      <c r="L221" s="706"/>
      <c r="M221" s="706"/>
      <c r="N221" s="706"/>
      <c r="O221" s="706"/>
      <c r="P221" s="706"/>
      <c r="Q221" s="706"/>
      <c r="R221" s="184"/>
      <c r="S221" s="184"/>
    </row>
    <row r="222" spans="1:19" s="111" customFormat="1" ht="16.5" thickBot="1" x14ac:dyDescent="0.3">
      <c r="A222" s="670" t="s">
        <v>976</v>
      </c>
      <c r="B222" s="667" t="s">
        <v>292</v>
      </c>
      <c r="C222" s="668">
        <v>2</v>
      </c>
      <c r="D222" s="668">
        <v>9.3975000000000009</v>
      </c>
      <c r="E222" s="668"/>
      <c r="F222" s="829">
        <f t="shared" si="14"/>
        <v>18.795000000000002</v>
      </c>
      <c r="G222" s="668">
        <f t="shared" si="15"/>
        <v>0</v>
      </c>
      <c r="H222" s="794" t="s">
        <v>19</v>
      </c>
      <c r="I222" s="710"/>
      <c r="J222" s="706"/>
      <c r="K222" s="706"/>
      <c r="L222" s="706"/>
      <c r="M222" s="706"/>
      <c r="N222" s="706"/>
      <c r="O222" s="706"/>
      <c r="P222" s="706"/>
      <c r="Q222" s="706"/>
      <c r="R222" s="184"/>
      <c r="S222" s="184"/>
    </row>
    <row r="223" spans="1:19" s="674" customFormat="1" ht="16.5" thickBot="1" x14ac:dyDescent="0.3">
      <c r="A223" s="671" t="s">
        <v>977</v>
      </c>
      <c r="B223" s="672" t="s">
        <v>292</v>
      </c>
      <c r="C223" s="673">
        <v>0.99</v>
      </c>
      <c r="D223" s="673">
        <v>9.3975000000000009</v>
      </c>
      <c r="E223" s="673"/>
      <c r="F223" s="829">
        <f t="shared" si="14"/>
        <v>9.3035250000000005</v>
      </c>
      <c r="G223" s="673">
        <f t="shared" si="15"/>
        <v>0</v>
      </c>
      <c r="H223" s="794" t="s">
        <v>19</v>
      </c>
      <c r="I223" s="710"/>
      <c r="J223" s="706"/>
      <c r="K223" s="706"/>
      <c r="L223" s="706"/>
      <c r="M223" s="706"/>
      <c r="N223" s="706"/>
      <c r="O223" s="706"/>
      <c r="P223" s="706"/>
      <c r="Q223" s="706"/>
      <c r="R223" s="184"/>
      <c r="S223" s="184"/>
    </row>
    <row r="224" spans="1:19" s="111" customFormat="1" ht="16.5" thickBot="1" x14ac:dyDescent="0.3">
      <c r="A224" s="670" t="s">
        <v>978</v>
      </c>
      <c r="B224" s="667" t="s">
        <v>292</v>
      </c>
      <c r="C224" s="668">
        <v>27.5</v>
      </c>
      <c r="D224" s="668">
        <v>22</v>
      </c>
      <c r="E224" s="668"/>
      <c r="F224" s="829">
        <f t="shared" si="14"/>
        <v>605</v>
      </c>
      <c r="G224" s="668">
        <f t="shared" si="15"/>
        <v>0</v>
      </c>
      <c r="H224" s="794" t="s">
        <v>19</v>
      </c>
      <c r="I224" s="710"/>
      <c r="J224" s="706"/>
      <c r="K224" s="706"/>
      <c r="L224" s="706"/>
      <c r="M224" s="706"/>
      <c r="N224" s="706"/>
      <c r="O224" s="706"/>
      <c r="P224" s="706"/>
      <c r="Q224" s="706"/>
      <c r="R224" s="184"/>
      <c r="S224" s="184"/>
    </row>
    <row r="225" spans="1:19" s="111" customFormat="1" ht="16.5" thickBot="1" x14ac:dyDescent="0.3">
      <c r="A225" s="670" t="s">
        <v>979</v>
      </c>
      <c r="B225" s="667" t="s">
        <v>638</v>
      </c>
      <c r="C225" s="668">
        <v>2</v>
      </c>
      <c r="D225" s="668">
        <v>17.569499999999998</v>
      </c>
      <c r="E225" s="668"/>
      <c r="F225" s="829">
        <f t="shared" si="14"/>
        <v>35.138999999999996</v>
      </c>
      <c r="G225" s="668">
        <f t="shared" si="15"/>
        <v>0</v>
      </c>
      <c r="H225" s="794" t="s">
        <v>19</v>
      </c>
      <c r="I225" s="710"/>
      <c r="J225" s="706"/>
      <c r="K225" s="706"/>
      <c r="L225" s="706">
        <v>22.5</v>
      </c>
      <c r="M225" s="706"/>
      <c r="N225" s="706"/>
      <c r="O225" s="706"/>
      <c r="P225" s="706"/>
      <c r="Q225" s="706"/>
      <c r="R225" s="184"/>
      <c r="S225" s="184"/>
    </row>
    <row r="226" spans="1:19" s="111" customFormat="1" ht="16.5" thickBot="1" x14ac:dyDescent="0.3">
      <c r="A226" s="670" t="s">
        <v>980</v>
      </c>
      <c r="B226" s="667" t="s">
        <v>292</v>
      </c>
      <c r="C226" s="668">
        <v>19.21</v>
      </c>
      <c r="D226" s="668">
        <v>19.21</v>
      </c>
      <c r="E226" s="668"/>
      <c r="F226" s="829">
        <f t="shared" si="14"/>
        <v>369.02410000000003</v>
      </c>
      <c r="G226" s="668">
        <f t="shared" si="15"/>
        <v>0</v>
      </c>
      <c r="H226" s="794" t="s">
        <v>19</v>
      </c>
      <c r="I226" s="710"/>
      <c r="J226" s="706"/>
      <c r="K226" s="706"/>
      <c r="L226" s="706"/>
      <c r="M226" s="706"/>
      <c r="N226" s="706"/>
      <c r="O226" s="706"/>
      <c r="P226" s="706"/>
      <c r="Q226" s="706"/>
      <c r="R226" s="184"/>
      <c r="S226" s="184"/>
    </row>
    <row r="227" spans="1:19" s="111" customFormat="1" ht="16.5" thickBot="1" x14ac:dyDescent="0.3">
      <c r="A227" s="670" t="s">
        <v>981</v>
      </c>
      <c r="B227" s="667" t="s">
        <v>292</v>
      </c>
      <c r="C227" s="668">
        <v>5</v>
      </c>
      <c r="D227" s="668">
        <v>12.285</v>
      </c>
      <c r="E227" s="668"/>
      <c r="F227" s="829">
        <f t="shared" si="14"/>
        <v>61.424999999999997</v>
      </c>
      <c r="G227" s="668">
        <f t="shared" si="15"/>
        <v>0</v>
      </c>
      <c r="H227" s="794" t="s">
        <v>19</v>
      </c>
      <c r="I227" s="710"/>
      <c r="J227" s="706"/>
      <c r="K227" s="706"/>
      <c r="L227" s="706"/>
      <c r="M227" s="706"/>
      <c r="N227" s="706"/>
      <c r="O227" s="706"/>
      <c r="P227" s="706"/>
      <c r="Q227" s="706"/>
      <c r="R227" s="184"/>
      <c r="S227" s="184"/>
    </row>
    <row r="228" spans="1:19" s="111" customFormat="1" ht="16.5" thickBot="1" x14ac:dyDescent="0.3">
      <c r="A228" s="670" t="s">
        <v>982</v>
      </c>
      <c r="B228" s="667" t="s">
        <v>292</v>
      </c>
      <c r="C228" s="668">
        <v>1.6</v>
      </c>
      <c r="D228" s="668">
        <v>121.63200000000001</v>
      </c>
      <c r="E228" s="668"/>
      <c r="F228" s="829">
        <f t="shared" si="14"/>
        <v>194.61120000000003</v>
      </c>
      <c r="G228" s="668">
        <f t="shared" si="15"/>
        <v>0</v>
      </c>
      <c r="H228" s="794" t="s">
        <v>19</v>
      </c>
      <c r="I228" s="710"/>
      <c r="J228" s="706"/>
      <c r="K228" s="706"/>
      <c r="L228" s="706"/>
      <c r="M228" s="706"/>
      <c r="N228" s="706"/>
      <c r="O228" s="706"/>
      <c r="P228" s="706"/>
      <c r="Q228" s="706"/>
      <c r="R228" s="184"/>
      <c r="S228" s="184"/>
    </row>
    <row r="229" spans="1:19" s="111" customFormat="1" ht="16.5" thickBot="1" x14ac:dyDescent="0.3">
      <c r="A229" s="670" t="s">
        <v>983</v>
      </c>
      <c r="B229" s="667" t="s">
        <v>949</v>
      </c>
      <c r="C229" s="668">
        <v>478</v>
      </c>
      <c r="D229" s="668">
        <v>0.26250000000000001</v>
      </c>
      <c r="E229" s="668"/>
      <c r="F229" s="829">
        <f t="shared" si="14"/>
        <v>125.47500000000001</v>
      </c>
      <c r="G229" s="668">
        <f t="shared" si="15"/>
        <v>0</v>
      </c>
      <c r="H229" s="794" t="s">
        <v>19</v>
      </c>
      <c r="I229" s="710"/>
      <c r="J229" s="706"/>
      <c r="K229" s="706"/>
      <c r="L229" s="706"/>
      <c r="M229" s="706"/>
      <c r="N229" s="706"/>
      <c r="O229" s="706"/>
      <c r="P229" s="706"/>
      <c r="Q229" s="706"/>
      <c r="R229" s="184"/>
      <c r="S229" s="184"/>
    </row>
    <row r="230" spans="1:19" s="111" customFormat="1" ht="16.5" thickBot="1" x14ac:dyDescent="0.3">
      <c r="A230" s="670" t="s">
        <v>984</v>
      </c>
      <c r="B230" s="667"/>
      <c r="C230" s="668"/>
      <c r="D230" s="668"/>
      <c r="E230" s="668"/>
      <c r="F230" s="829">
        <v>157.91</v>
      </c>
      <c r="G230" s="669">
        <v>157.90731182116249</v>
      </c>
      <c r="H230" s="794" t="s">
        <v>19</v>
      </c>
      <c r="I230" s="710"/>
      <c r="J230" s="706"/>
      <c r="K230" s="706"/>
      <c r="L230" s="706"/>
      <c r="M230" s="706"/>
      <c r="N230" s="706"/>
      <c r="O230" s="706"/>
      <c r="P230" s="706"/>
      <c r="Q230" s="706"/>
      <c r="R230" s="184"/>
      <c r="S230" s="184"/>
    </row>
    <row r="231" spans="1:19" s="111" customFormat="1" ht="16.5" thickBot="1" x14ac:dyDescent="0.3">
      <c r="A231" s="670" t="s">
        <v>961</v>
      </c>
      <c r="B231" s="667"/>
      <c r="C231" s="668"/>
      <c r="D231" s="668"/>
      <c r="E231" s="668"/>
      <c r="F231" s="829">
        <f>F214+F215+F216+F217+F218+F220+F221+F222+F223+F224+F225+F226+F227+F228+F229+F230</f>
        <v>8565.5341250000001</v>
      </c>
      <c r="G231" s="668">
        <f>G214+G215+G216+G217+G218+G220+G221+G222+G223+G224+G225+G226+G227+G228+G229+G230</f>
        <v>157.90731182116249</v>
      </c>
      <c r="H231" s="794" t="s">
        <v>19</v>
      </c>
      <c r="I231" s="710"/>
      <c r="J231" s="706"/>
      <c r="K231" s="706"/>
      <c r="L231" s="706"/>
      <c r="M231" s="706"/>
      <c r="N231" s="706"/>
      <c r="O231" s="706"/>
      <c r="P231" s="706"/>
      <c r="Q231" s="706"/>
      <c r="R231" s="184"/>
      <c r="S231" s="184"/>
    </row>
    <row r="232" spans="1:19" s="111" customFormat="1" ht="16.5" thickBot="1" x14ac:dyDescent="0.3">
      <c r="A232" s="670" t="s">
        <v>933</v>
      </c>
      <c r="B232" s="667"/>
      <c r="C232" s="668"/>
      <c r="D232" s="668"/>
      <c r="E232" s="668"/>
      <c r="F232" s="829"/>
      <c r="G232" s="668"/>
      <c r="H232" s="794" t="s">
        <v>19</v>
      </c>
      <c r="I232" s="710"/>
      <c r="J232" s="706"/>
      <c r="K232" s="706"/>
      <c r="L232" s="706"/>
      <c r="M232" s="706"/>
      <c r="N232" s="706"/>
      <c r="O232" s="706"/>
      <c r="P232" s="706"/>
      <c r="Q232" s="706"/>
      <c r="R232" s="184"/>
      <c r="S232" s="184"/>
    </row>
    <row r="233" spans="1:19" s="111" customFormat="1" ht="16.5" thickBot="1" x14ac:dyDescent="0.3">
      <c r="A233" s="670" t="s">
        <v>234</v>
      </c>
      <c r="B233" s="667" t="s">
        <v>638</v>
      </c>
      <c r="C233" s="668">
        <v>447</v>
      </c>
      <c r="D233" s="668">
        <f>'PRECIOS DE INSUMOS PLAGUICIDAS'!S$7</f>
        <v>3</v>
      </c>
      <c r="E233" s="668">
        <f>'PRECIOS DE INSUMOS PLAGUICIDAS'!T$7</f>
        <v>3</v>
      </c>
      <c r="F233" s="829">
        <f>C233*D233</f>
        <v>1341</v>
      </c>
      <c r="G233" s="668">
        <f>C233*E233</f>
        <v>1341</v>
      </c>
      <c r="H233" s="794" t="s">
        <v>19</v>
      </c>
      <c r="I233" s="710"/>
      <c r="J233" s="706"/>
      <c r="K233" s="706"/>
      <c r="L233" s="706"/>
      <c r="M233" s="706"/>
      <c r="N233" s="706"/>
      <c r="O233" s="706"/>
      <c r="P233" s="706"/>
      <c r="Q233" s="706"/>
      <c r="R233" s="184"/>
      <c r="S233" s="184"/>
    </row>
    <row r="234" spans="1:19" s="111" customFormat="1" ht="16.5" thickBot="1" x14ac:dyDescent="0.3">
      <c r="A234" s="670" t="s">
        <v>283</v>
      </c>
      <c r="B234" s="667" t="s">
        <v>985</v>
      </c>
      <c r="C234" s="668">
        <v>4.5</v>
      </c>
      <c r="D234" s="668">
        <v>18</v>
      </c>
      <c r="E234" s="668">
        <f>D234*0.4</f>
        <v>7.2</v>
      </c>
      <c r="F234" s="829">
        <f>C234*D234</f>
        <v>81</v>
      </c>
      <c r="G234" s="668">
        <f>C234*E234</f>
        <v>32.4</v>
      </c>
      <c r="H234" s="794" t="s">
        <v>19</v>
      </c>
      <c r="I234" s="710"/>
      <c r="J234" s="706"/>
      <c r="K234" s="706"/>
      <c r="L234" s="706"/>
      <c r="M234" s="706"/>
      <c r="N234" s="706"/>
      <c r="O234" s="706"/>
      <c r="P234" s="706"/>
      <c r="Q234" s="706"/>
      <c r="R234" s="184"/>
      <c r="S234" s="184"/>
    </row>
    <row r="235" spans="1:19" s="111" customFormat="1" ht="16.5" thickBot="1" x14ac:dyDescent="0.3">
      <c r="A235" s="670" t="s">
        <v>986</v>
      </c>
      <c r="B235" s="667" t="s">
        <v>936</v>
      </c>
      <c r="C235" s="668">
        <v>954</v>
      </c>
      <c r="D235" s="668">
        <v>0.17</v>
      </c>
      <c r="E235" s="668">
        <f>D235*0.4</f>
        <v>6.8000000000000005E-2</v>
      </c>
      <c r="F235" s="829">
        <f>C235*D235</f>
        <v>162.18</v>
      </c>
      <c r="G235" s="668">
        <f>C235*E235</f>
        <v>64.872</v>
      </c>
      <c r="H235" s="794" t="s">
        <v>19</v>
      </c>
      <c r="I235" s="710"/>
      <c r="J235" s="706"/>
      <c r="K235" s="706"/>
      <c r="L235" s="706"/>
      <c r="M235" s="706"/>
      <c r="N235" s="706"/>
      <c r="O235" s="706"/>
      <c r="P235" s="706"/>
      <c r="Q235" s="706"/>
      <c r="R235" s="184"/>
      <c r="S235" s="184"/>
    </row>
    <row r="236" spans="1:19" s="111" customFormat="1" ht="15.75" x14ac:dyDescent="0.25">
      <c r="A236" s="675" t="s">
        <v>937</v>
      </c>
      <c r="B236" s="667"/>
      <c r="C236" s="668"/>
      <c r="D236" s="668"/>
      <c r="E236" s="668"/>
      <c r="F236" s="829">
        <f>F233+F234+F235</f>
        <v>1584.18</v>
      </c>
      <c r="G236" s="668">
        <f>G233+G234+G235</f>
        <v>1438.2720000000002</v>
      </c>
      <c r="H236" s="794" t="s">
        <v>19</v>
      </c>
      <c r="I236" s="710"/>
      <c r="J236" s="706"/>
      <c r="K236" s="706"/>
      <c r="L236" s="706"/>
      <c r="M236" s="706"/>
      <c r="N236" s="706"/>
      <c r="O236" s="706"/>
      <c r="P236" s="706"/>
      <c r="Q236" s="706"/>
      <c r="R236" s="184"/>
      <c r="S236" s="184"/>
    </row>
    <row r="237" spans="1:19" s="111" customFormat="1" ht="15.75" x14ac:dyDescent="0.25">
      <c r="A237" s="676" t="s">
        <v>938</v>
      </c>
      <c r="B237" s="677"/>
      <c r="C237" s="677"/>
      <c r="D237" s="677"/>
      <c r="E237" s="677"/>
      <c r="F237" s="829">
        <f>F231+F236</f>
        <v>10149.714125</v>
      </c>
      <c r="G237" s="668">
        <f>G231+G236</f>
        <v>1596.1793118211626</v>
      </c>
      <c r="H237" s="794" t="s">
        <v>19</v>
      </c>
      <c r="I237" s="710"/>
      <c r="J237" s="706"/>
      <c r="K237" s="706"/>
      <c r="L237" s="706"/>
      <c r="M237" s="706"/>
      <c r="N237" s="706"/>
      <c r="O237" s="706"/>
      <c r="P237" s="706"/>
      <c r="Q237" s="706"/>
      <c r="R237" s="184"/>
      <c r="S237" s="184"/>
    </row>
    <row r="238" spans="1:19" s="111" customFormat="1" ht="15.75" x14ac:dyDescent="0.25">
      <c r="A238" s="680" t="s">
        <v>232</v>
      </c>
      <c r="B238" s="681"/>
      <c r="C238" s="681"/>
      <c r="D238" s="681"/>
      <c r="E238" s="681"/>
      <c r="F238" s="830"/>
      <c r="G238" s="681"/>
      <c r="H238" s="794" t="s">
        <v>19</v>
      </c>
      <c r="I238" s="710"/>
      <c r="J238" s="706"/>
      <c r="K238" s="706"/>
      <c r="L238" s="706"/>
      <c r="M238" s="706"/>
      <c r="N238" s="706"/>
      <c r="O238" s="706"/>
      <c r="P238" s="706"/>
      <c r="Q238" s="706"/>
      <c r="R238" s="184"/>
      <c r="S238" s="184"/>
    </row>
    <row r="239" spans="1:19" s="111" customFormat="1" ht="16.5" thickBot="1" x14ac:dyDescent="0.3">
      <c r="A239" s="682"/>
      <c r="B239" s="513"/>
      <c r="C239" s="513"/>
      <c r="D239" s="513"/>
      <c r="E239" s="513"/>
      <c r="F239" s="831"/>
      <c r="G239" s="513"/>
      <c r="H239" s="794" t="s">
        <v>19</v>
      </c>
      <c r="I239" s="710"/>
      <c r="J239" s="706"/>
      <c r="K239" s="706"/>
      <c r="L239" s="706"/>
      <c r="M239" s="706"/>
      <c r="N239" s="706"/>
      <c r="O239" s="706"/>
      <c r="P239" s="706"/>
      <c r="Q239" s="706"/>
      <c r="R239" s="184"/>
      <c r="S239" s="184"/>
    </row>
    <row r="240" spans="1:19" s="111" customFormat="1" ht="15.75" x14ac:dyDescent="0.25">
      <c r="A240" s="683" t="s">
        <v>243</v>
      </c>
      <c r="B240" s="684"/>
      <c r="C240" s="684"/>
      <c r="D240" s="684"/>
      <c r="E240" s="684"/>
      <c r="F240" s="832"/>
      <c r="G240" s="684"/>
      <c r="H240" s="794" t="s">
        <v>19</v>
      </c>
      <c r="I240" s="710"/>
      <c r="J240" s="706"/>
      <c r="K240" s="706"/>
      <c r="L240" s="706"/>
      <c r="M240" s="706"/>
      <c r="N240" s="706"/>
      <c r="O240" s="706"/>
      <c r="P240" s="706"/>
      <c r="Q240" s="706"/>
      <c r="R240" s="184"/>
      <c r="S240" s="184"/>
    </row>
    <row r="241" spans="1:19" s="111" customFormat="1" ht="16.5" thickBot="1" x14ac:dyDescent="0.3">
      <c r="A241" s="511"/>
      <c r="B241" s="509"/>
      <c r="C241" s="509"/>
      <c r="D241" s="509"/>
      <c r="E241" s="509"/>
      <c r="F241" s="833"/>
      <c r="G241" s="509"/>
      <c r="H241" s="794" t="s">
        <v>19</v>
      </c>
      <c r="I241" s="710"/>
      <c r="J241" s="706"/>
      <c r="K241" s="706"/>
      <c r="L241" s="706"/>
      <c r="M241" s="706"/>
      <c r="N241" s="706"/>
      <c r="O241" s="706"/>
      <c r="P241" s="706"/>
      <c r="Q241" s="706"/>
      <c r="R241" s="184"/>
      <c r="S241" s="184"/>
    </row>
  </sheetData>
  <autoFilter ref="A1:P241"/>
  <mergeCells count="159">
    <mergeCell ref="F204:G205"/>
    <mergeCell ref="D210:E210"/>
    <mergeCell ref="F210:G210"/>
    <mergeCell ref="A204:E204"/>
    <mergeCell ref="A205:E205"/>
    <mergeCell ref="A207:G207"/>
    <mergeCell ref="A206:E206"/>
    <mergeCell ref="A210:A212"/>
    <mergeCell ref="B210:B212"/>
    <mergeCell ref="C210:C212"/>
    <mergeCell ref="A201:G201"/>
    <mergeCell ref="A202:E202"/>
    <mergeCell ref="F202:G202"/>
    <mergeCell ref="A203:E203"/>
    <mergeCell ref="F203:G203"/>
    <mergeCell ref="I179:K179"/>
    <mergeCell ref="D180:D181"/>
    <mergeCell ref="E180:E181"/>
    <mergeCell ref="F180:F181"/>
    <mergeCell ref="G180:G181"/>
    <mergeCell ref="I180:I181"/>
    <mergeCell ref="J180:J181"/>
    <mergeCell ref="K180:K181"/>
    <mergeCell ref="A175:G175"/>
    <mergeCell ref="A176:G176"/>
    <mergeCell ref="B177:C177"/>
    <mergeCell ref="E177:G177"/>
    <mergeCell ref="A178:G178"/>
    <mergeCell ref="A179:A181"/>
    <mergeCell ref="B179:B181"/>
    <mergeCell ref="C179:C181"/>
    <mergeCell ref="D179:E179"/>
    <mergeCell ref="F179:G179"/>
    <mergeCell ref="A171:E171"/>
    <mergeCell ref="F171:G172"/>
    <mergeCell ref="A172:E172"/>
    <mergeCell ref="A173:E173"/>
    <mergeCell ref="F173:G174"/>
    <mergeCell ref="A174:E174"/>
    <mergeCell ref="D150:D151"/>
    <mergeCell ref="E150:E151"/>
    <mergeCell ref="F150:F151"/>
    <mergeCell ref="G150:G151"/>
    <mergeCell ref="A169:D169"/>
    <mergeCell ref="A170:G170"/>
    <mergeCell ref="A145:G145"/>
    <mergeCell ref="A146:G146"/>
    <mergeCell ref="B147:C147"/>
    <mergeCell ref="E147:G147"/>
    <mergeCell ref="A148:G148"/>
    <mergeCell ref="A149:A151"/>
    <mergeCell ref="B149:B151"/>
    <mergeCell ref="C149:C151"/>
    <mergeCell ref="D149:E149"/>
    <mergeCell ref="F149:G149"/>
    <mergeCell ref="A141:E141"/>
    <mergeCell ref="F141:G142"/>
    <mergeCell ref="A142:E142"/>
    <mergeCell ref="A143:E143"/>
    <mergeCell ref="F143:G144"/>
    <mergeCell ref="A144:E144"/>
    <mergeCell ref="A119:G119"/>
    <mergeCell ref="A120:A122"/>
    <mergeCell ref="B120:B122"/>
    <mergeCell ref="C120:C122"/>
    <mergeCell ref="D120:E120"/>
    <mergeCell ref="F120:G120"/>
    <mergeCell ref="D121:D122"/>
    <mergeCell ref="E121:E122"/>
    <mergeCell ref="F121:F122"/>
    <mergeCell ref="G121:G122"/>
    <mergeCell ref="A114:E114"/>
    <mergeCell ref="F114:G115"/>
    <mergeCell ref="A115:E115"/>
    <mergeCell ref="A116:G116"/>
    <mergeCell ref="A117:G117"/>
    <mergeCell ref="B118:C118"/>
    <mergeCell ref="E118:G118"/>
    <mergeCell ref="F94:F95"/>
    <mergeCell ref="G94:G95"/>
    <mergeCell ref="A112:E112"/>
    <mergeCell ref="F112:G113"/>
    <mergeCell ref="A113:E113"/>
    <mergeCell ref="A93:A95"/>
    <mergeCell ref="A61:G61"/>
    <mergeCell ref="B62:C62"/>
    <mergeCell ref="E62:G62"/>
    <mergeCell ref="A63:G63"/>
    <mergeCell ref="A90:G90"/>
    <mergeCell ref="A91:D91"/>
    <mergeCell ref="E91:G91"/>
    <mergeCell ref="A92:G92"/>
    <mergeCell ref="B93:B95"/>
    <mergeCell ref="C93:C95"/>
    <mergeCell ref="D93:E93"/>
    <mergeCell ref="F93:G93"/>
    <mergeCell ref="D94:D95"/>
    <mergeCell ref="E94:E95"/>
    <mergeCell ref="A89:G89"/>
    <mergeCell ref="A87:E87"/>
    <mergeCell ref="F87:G88"/>
    <mergeCell ref="A88:E88"/>
    <mergeCell ref="A85:E85"/>
    <mergeCell ref="F85:G86"/>
    <mergeCell ref="A86:E86"/>
    <mergeCell ref="A84:G84"/>
    <mergeCell ref="F64:G64"/>
    <mergeCell ref="D65:D66"/>
    <mergeCell ref="E65:E66"/>
    <mergeCell ref="F65:F66"/>
    <mergeCell ref="G65:G66"/>
    <mergeCell ref="A64:A66"/>
    <mergeCell ref="B64:B66"/>
    <mergeCell ref="C64:C66"/>
    <mergeCell ref="D64:E64"/>
    <mergeCell ref="A32:G32"/>
    <mergeCell ref="A33:C33"/>
    <mergeCell ref="E33:G33"/>
    <mergeCell ref="G36:G37"/>
    <mergeCell ref="A55:G55"/>
    <mergeCell ref="A34:G34"/>
    <mergeCell ref="A35:A37"/>
    <mergeCell ref="B35:B37"/>
    <mergeCell ref="F36:F37"/>
    <mergeCell ref="A60:G60"/>
    <mergeCell ref="C35:C37"/>
    <mergeCell ref="D35:E35"/>
    <mergeCell ref="F35:G35"/>
    <mergeCell ref="D36:D37"/>
    <mergeCell ref="E36:E37"/>
    <mergeCell ref="A56:E56"/>
    <mergeCell ref="F56:G57"/>
    <mergeCell ref="A57:E57"/>
    <mergeCell ref="A58:E58"/>
    <mergeCell ref="F58:G59"/>
    <mergeCell ref="A59:E59"/>
    <mergeCell ref="A27:E27"/>
    <mergeCell ref="F27:G28"/>
    <mergeCell ref="A28:E28"/>
    <mergeCell ref="A29:E29"/>
    <mergeCell ref="F29:G30"/>
    <mergeCell ref="A30:E30"/>
    <mergeCell ref="A31:G31"/>
    <mergeCell ref="I6:K6"/>
    <mergeCell ref="D7:D8"/>
    <mergeCell ref="E7:E8"/>
    <mergeCell ref="F7:F8"/>
    <mergeCell ref="G7:G8"/>
    <mergeCell ref="F6:G6"/>
    <mergeCell ref="A26:G26"/>
    <mergeCell ref="A2:G2"/>
    <mergeCell ref="A3:G3"/>
    <mergeCell ref="A4:C4"/>
    <mergeCell ref="E4:G4"/>
    <mergeCell ref="A5:G5"/>
    <mergeCell ref="A6:A8"/>
    <mergeCell ref="B6:B8"/>
    <mergeCell ref="C6:C8"/>
    <mergeCell ref="D6:E6"/>
  </mergeCells>
  <phoneticPr fontId="21" type="noConversion"/>
  <pageMargins left="0.78740157480314965" right="0.78740157480314965" top="0.98425196850393704" bottom="0.39370078740157483" header="0" footer="0"/>
  <pageSetup orientation="portrait" horizontalDpi="300" verticalDpi="300" r:id="rId1"/>
  <headerFooter alignWithMargins="0"/>
  <rowBreaks count="7" manualBreakCount="7">
    <brk id="30" max="6" man="1"/>
    <brk id="59" max="6" man="1"/>
    <brk id="88" max="6" man="1"/>
    <brk id="115" max="6" man="1"/>
    <brk id="144" max="6" man="1"/>
    <brk id="174" max="6" man="1"/>
    <brk id="205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2:G19"/>
  <sheetViews>
    <sheetView showGridLines="0" showZeros="0" defaultGridColor="0" colorId="23" zoomScale="75" workbookViewId="0">
      <pane xSplit="1" ySplit="1" topLeftCell="B2" activePane="bottomRight" state="frozen"/>
      <selection activeCell="O3" sqref="O3"/>
      <selection pane="topRight" activeCell="O3" sqref="O3"/>
      <selection pane="bottomLeft" activeCell="O3" sqref="O3"/>
      <selection pane="bottomRight" activeCell="I30" sqref="I30"/>
    </sheetView>
  </sheetViews>
  <sheetFormatPr baseColWidth="10" defaultColWidth="11.42578125" defaultRowHeight="15" x14ac:dyDescent="0.2"/>
  <cols>
    <col min="1" max="1" width="63.28515625" style="5" customWidth="1"/>
    <col min="2" max="2" width="12.5703125" style="8" bestFit="1" customWidth="1"/>
    <col min="3" max="3" width="11.7109375" style="8" customWidth="1"/>
    <col min="4" max="4" width="15.5703125" style="8" customWidth="1"/>
    <col min="5" max="5" width="11.42578125" style="5"/>
    <col min="6" max="6" width="9.28515625" style="5" customWidth="1"/>
    <col min="7" max="14" width="11.42578125" style="5"/>
    <col min="15" max="15" width="9.42578125" style="5" customWidth="1"/>
    <col min="16" max="16384" width="11.42578125" style="5"/>
  </cols>
  <sheetData>
    <row r="2" spans="1:7" ht="15.75" thickBot="1" x14ac:dyDescent="0.25"/>
    <row r="3" spans="1:7" s="2" customFormat="1" ht="36" customHeight="1" thickBot="1" x14ac:dyDescent="0.3">
      <c r="A3" s="9" t="s">
        <v>246</v>
      </c>
      <c r="B3" s="10" t="s">
        <v>549</v>
      </c>
      <c r="C3" s="10" t="s">
        <v>248</v>
      </c>
      <c r="D3" s="11" t="s">
        <v>247</v>
      </c>
      <c r="E3" s="11" t="s">
        <v>550</v>
      </c>
      <c r="F3" s="11" t="s">
        <v>551</v>
      </c>
    </row>
    <row r="4" spans="1:7" ht="16.5" thickBot="1" x14ac:dyDescent="0.3">
      <c r="A4" s="3" t="s">
        <v>552</v>
      </c>
      <c r="B4" s="4">
        <v>6100</v>
      </c>
      <c r="C4" s="4">
        <v>5</v>
      </c>
      <c r="D4" s="4">
        <f>B4/C4</f>
        <v>1220</v>
      </c>
      <c r="E4" s="4">
        <f>D4/12</f>
        <v>101.66666666666667</v>
      </c>
      <c r="F4" s="76">
        <f>E4/192</f>
        <v>0.52951388888888895</v>
      </c>
      <c r="G4" s="2"/>
    </row>
    <row r="5" spans="1:7" ht="16.5" thickBot="1" x14ac:dyDescent="0.3">
      <c r="A5" s="6" t="s">
        <v>553</v>
      </c>
      <c r="B5" s="7">
        <v>3000</v>
      </c>
      <c r="C5" s="7">
        <v>5</v>
      </c>
      <c r="D5" s="7">
        <f>B5/C5</f>
        <v>600</v>
      </c>
      <c r="E5" s="4">
        <f>D5/12</f>
        <v>50</v>
      </c>
      <c r="F5" s="76">
        <f>E5/192</f>
        <v>0.26041666666666669</v>
      </c>
      <c r="G5" s="2"/>
    </row>
    <row r="6" spans="1:7" s="2" customFormat="1" ht="16.5" thickBot="1" x14ac:dyDescent="0.3">
      <c r="A6" s="185" t="s">
        <v>219</v>
      </c>
      <c r="B6" s="186">
        <f>SUM(B4:B5)</f>
        <v>9100</v>
      </c>
      <c r="C6" s="186">
        <v>5</v>
      </c>
      <c r="D6" s="186">
        <f>B6/C6</f>
        <v>1820</v>
      </c>
      <c r="E6" s="187">
        <f>D6/12</f>
        <v>151.66666666666666</v>
      </c>
      <c r="F6" s="188">
        <f>E6/192</f>
        <v>0.78993055555555547</v>
      </c>
    </row>
    <row r="7" spans="1:7" ht="16.5" thickBot="1" x14ac:dyDescent="0.3">
      <c r="E7" s="8"/>
      <c r="F7" s="8"/>
      <c r="G7" s="2"/>
    </row>
    <row r="8" spans="1:7" s="77" customFormat="1" ht="16.5" customHeight="1" thickBot="1" x14ac:dyDescent="0.3">
      <c r="A8" s="2473" t="s">
        <v>554</v>
      </c>
      <c r="B8" s="2469" t="s">
        <v>221</v>
      </c>
      <c r="C8" s="2475" t="s">
        <v>555</v>
      </c>
      <c r="D8" s="2467" t="s">
        <v>556</v>
      </c>
      <c r="E8" s="2468"/>
      <c r="F8" s="2469" t="s">
        <v>219</v>
      </c>
      <c r="G8" s="2471" t="s">
        <v>557</v>
      </c>
    </row>
    <row r="9" spans="1:7" s="77" customFormat="1" ht="47.25" customHeight="1" thickBot="1" x14ac:dyDescent="0.3">
      <c r="A9" s="2474"/>
      <c r="B9" s="2470"/>
      <c r="C9" s="2476"/>
      <c r="D9" s="78" t="s">
        <v>558</v>
      </c>
      <c r="E9" s="79" t="s">
        <v>559</v>
      </c>
      <c r="F9" s="2470"/>
      <c r="G9" s="2472"/>
    </row>
    <row r="10" spans="1:7" ht="15.75" x14ac:dyDescent="0.25">
      <c r="A10" s="189" t="s">
        <v>245</v>
      </c>
      <c r="B10" s="4">
        <v>7</v>
      </c>
      <c r="C10" s="4">
        <v>8</v>
      </c>
      <c r="D10" s="4">
        <v>1.5</v>
      </c>
      <c r="E10" s="4">
        <v>1.29</v>
      </c>
      <c r="F10" s="4">
        <f>B10*C10*D10*E10</f>
        <v>108.36</v>
      </c>
      <c r="G10" s="188">
        <f>B10*C10*0.79</f>
        <v>44.24</v>
      </c>
    </row>
    <row r="11" spans="1:7" ht="16.5" thickBot="1" x14ac:dyDescent="0.3">
      <c r="A11" s="2" t="s">
        <v>560</v>
      </c>
      <c r="E11" s="8"/>
      <c r="F11" s="8"/>
      <c r="G11" s="2"/>
    </row>
    <row r="12" spans="1:7" ht="16.5" thickBot="1" x14ac:dyDescent="0.3">
      <c r="A12" s="80" t="s">
        <v>561</v>
      </c>
      <c r="B12" s="7">
        <v>6.25</v>
      </c>
      <c r="C12" s="7">
        <v>8</v>
      </c>
      <c r="D12" s="7">
        <v>1.5</v>
      </c>
      <c r="E12" s="7">
        <v>1.29</v>
      </c>
      <c r="F12" s="7">
        <f>B12*C12*D12*E12</f>
        <v>96.75</v>
      </c>
      <c r="G12" s="188">
        <f>B12*C12*0.79</f>
        <v>39.5</v>
      </c>
    </row>
    <row r="13" spans="1:7" ht="16.5" thickBot="1" x14ac:dyDescent="0.3">
      <c r="A13" s="190" t="s">
        <v>440</v>
      </c>
      <c r="B13" s="7"/>
      <c r="C13" s="7"/>
      <c r="D13" s="7"/>
      <c r="E13" s="7"/>
      <c r="F13" s="7"/>
      <c r="G13" s="188"/>
    </row>
    <row r="14" spans="1:7" ht="16.5" thickBot="1" x14ac:dyDescent="0.3">
      <c r="A14" s="80" t="s">
        <v>562</v>
      </c>
      <c r="B14" s="7">
        <v>1.78</v>
      </c>
      <c r="C14" s="7">
        <v>8</v>
      </c>
      <c r="D14" s="7">
        <v>1.5</v>
      </c>
      <c r="E14" s="7">
        <v>1.29</v>
      </c>
      <c r="F14" s="7">
        <f>B14*C14*D14*E14</f>
        <v>27.554400000000001</v>
      </c>
      <c r="G14" s="188">
        <f>B14*C14*0.79</f>
        <v>11.249600000000001</v>
      </c>
    </row>
    <row r="15" spans="1:7" ht="16.5" thickBot="1" x14ac:dyDescent="0.3">
      <c r="A15" s="190" t="s">
        <v>563</v>
      </c>
      <c r="B15" s="7"/>
      <c r="C15" s="7"/>
      <c r="D15" s="7"/>
      <c r="E15" s="7"/>
      <c r="F15" s="7"/>
      <c r="G15" s="188"/>
    </row>
    <row r="16" spans="1:7" ht="16.5" thickBot="1" x14ac:dyDescent="0.3">
      <c r="A16" s="80" t="s">
        <v>564</v>
      </c>
      <c r="B16" s="7">
        <v>2.7</v>
      </c>
      <c r="C16" s="7">
        <v>8</v>
      </c>
      <c r="D16" s="7">
        <v>1.5</v>
      </c>
      <c r="E16" s="7">
        <v>1.29</v>
      </c>
      <c r="F16" s="7">
        <f>B16*C16*D16*E16</f>
        <v>41.796000000000006</v>
      </c>
      <c r="G16" s="188">
        <f>B16*C16*0.79</f>
        <v>17.064000000000004</v>
      </c>
    </row>
    <row r="17" spans="1:7" ht="16.5" thickBot="1" x14ac:dyDescent="0.3">
      <c r="A17" s="190" t="s">
        <v>565</v>
      </c>
      <c r="B17" s="7"/>
      <c r="C17" s="7"/>
      <c r="D17" s="7"/>
      <c r="E17" s="7"/>
      <c r="F17" s="7"/>
      <c r="G17" s="188"/>
    </row>
    <row r="18" spans="1:7" ht="15.75" x14ac:dyDescent="0.25">
      <c r="A18" s="80" t="s">
        <v>566</v>
      </c>
      <c r="B18" s="7">
        <v>1.54</v>
      </c>
      <c r="C18" s="7">
        <v>8</v>
      </c>
      <c r="D18" s="7">
        <v>1.5</v>
      </c>
      <c r="E18" s="7">
        <v>1.29</v>
      </c>
      <c r="F18" s="7">
        <f>B18*C18*D18*E18</f>
        <v>23.839200000000002</v>
      </c>
      <c r="G18" s="188">
        <f>B18*C18*0.79</f>
        <v>9.732800000000001</v>
      </c>
    </row>
    <row r="19" spans="1:7" ht="15.75" x14ac:dyDescent="0.25">
      <c r="E19" s="8"/>
      <c r="F19" s="8"/>
      <c r="G19" s="116">
        <f>G10+G12+G14+G16+G18</f>
        <v>121.78640000000001</v>
      </c>
    </row>
  </sheetData>
  <mergeCells count="6">
    <mergeCell ref="D8:E8"/>
    <mergeCell ref="F8:F9"/>
    <mergeCell ref="G8:G9"/>
    <mergeCell ref="A8:A9"/>
    <mergeCell ref="B8:B9"/>
    <mergeCell ref="C8:C9"/>
  </mergeCells>
  <phoneticPr fontId="7" type="noConversion"/>
  <pageMargins left="0.39370078740157483" right="0" top="0.59055118110236227" bottom="0.39370078740157483" header="0" footer="0"/>
  <pageSetup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0"/>
  <sheetViews>
    <sheetView showGridLines="0" showZeros="0" defaultGridColor="0" colorId="23" zoomScale="75" zoomScaleNormal="75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S9" sqref="S9"/>
    </sheetView>
  </sheetViews>
  <sheetFormatPr baseColWidth="10" defaultColWidth="11.42578125" defaultRowHeight="15" x14ac:dyDescent="0.2"/>
  <cols>
    <col min="1" max="1" width="25.7109375" style="996" customWidth="1"/>
    <col min="2" max="2" width="11.28515625" style="996" customWidth="1"/>
    <col min="3" max="3" width="9.5703125" style="1003" customWidth="1"/>
    <col min="4" max="4" width="9.85546875" style="996" customWidth="1"/>
    <col min="5" max="5" width="15.28515625" style="996" hidden="1" customWidth="1"/>
    <col min="6" max="6" width="11.28515625" style="996" customWidth="1"/>
    <col min="7" max="7" width="10.85546875" style="996" hidden="1" customWidth="1"/>
    <col min="8" max="8" width="12.28515625" style="997" hidden="1" customWidth="1"/>
    <col min="9" max="9" width="11.7109375" style="997" hidden="1" customWidth="1"/>
    <col min="10" max="10" width="11.7109375" style="1000" customWidth="1"/>
    <col min="11" max="13" width="10.28515625" style="996" customWidth="1"/>
    <col min="14" max="14" width="10.28515625" style="996" hidden="1" customWidth="1"/>
    <col min="15" max="15" width="12.85546875" style="996" hidden="1" customWidth="1"/>
    <col min="16" max="16" width="11.42578125" style="997" hidden="1" customWidth="1"/>
    <col min="17" max="17" width="0" style="997" hidden="1" customWidth="1"/>
    <col min="18" max="18" width="11.42578125" style="997"/>
    <col min="19" max="20" width="11.42578125" style="996"/>
    <col min="21" max="21" width="11.42578125" style="997"/>
    <col min="22" max="16384" width="11.42578125" style="996"/>
  </cols>
  <sheetData>
    <row r="1" spans="1:21" ht="36.75" customHeight="1" thickBot="1" x14ac:dyDescent="0.25">
      <c r="A1" s="1741" t="s">
        <v>1468</v>
      </c>
      <c r="B1" s="1742"/>
      <c r="C1" s="1742"/>
      <c r="D1" s="1742"/>
      <c r="E1" s="1742"/>
      <c r="F1" s="1742"/>
      <c r="G1" s="1742"/>
      <c r="H1" s="1742"/>
      <c r="I1" s="1085" t="s">
        <v>1479</v>
      </c>
      <c r="J1" s="1672"/>
      <c r="K1" s="981"/>
      <c r="L1" s="981"/>
      <c r="M1" s="981"/>
      <c r="N1" s="981"/>
      <c r="O1" s="981"/>
      <c r="P1" s="981"/>
      <c r="Q1" s="981"/>
      <c r="R1" s="981"/>
      <c r="S1" s="981"/>
    </row>
    <row r="2" spans="1:21" s="1064" customFormat="1" ht="24" hidden="1" customHeight="1" thickBot="1" x14ac:dyDescent="0.3">
      <c r="A2" s="1075"/>
      <c r="B2" s="1076"/>
      <c r="C2" s="1076"/>
      <c r="D2" s="1748" t="s">
        <v>1486</v>
      </c>
      <c r="E2" s="1748"/>
      <c r="F2" s="1749"/>
      <c r="G2" s="1623">
        <v>20</v>
      </c>
      <c r="H2" s="1076"/>
      <c r="I2" s="1077"/>
      <c r="J2" s="1673"/>
      <c r="K2" s="1063"/>
      <c r="L2" s="1063"/>
      <c r="M2" s="1063"/>
      <c r="N2" s="1063"/>
      <c r="O2" s="1063"/>
      <c r="P2" s="1063"/>
      <c r="Q2" s="1063"/>
      <c r="R2" s="1063"/>
      <c r="S2" s="1063"/>
      <c r="U2" s="1065"/>
    </row>
    <row r="3" spans="1:21" s="1004" customFormat="1" ht="61.9" customHeight="1" thickBot="1" x14ac:dyDescent="0.25">
      <c r="A3" s="1087" t="s">
        <v>1483</v>
      </c>
      <c r="B3" s="1088" t="s">
        <v>1478</v>
      </c>
      <c r="C3" s="1088" t="s">
        <v>1489</v>
      </c>
      <c r="D3" s="1088" t="s">
        <v>1480</v>
      </c>
      <c r="E3" s="1088" t="s">
        <v>1480</v>
      </c>
      <c r="F3" s="1088" t="s">
        <v>2018</v>
      </c>
      <c r="G3" s="1088" t="s">
        <v>1480</v>
      </c>
      <c r="H3" s="1088" t="s">
        <v>1480</v>
      </c>
      <c r="I3" s="1674" t="s">
        <v>1480</v>
      </c>
      <c r="J3" s="1677" t="s">
        <v>2048</v>
      </c>
      <c r="K3" s="1678" t="s">
        <v>2047</v>
      </c>
      <c r="L3" s="999"/>
      <c r="M3" s="999"/>
      <c r="N3" s="999"/>
      <c r="O3" s="1037" t="s">
        <v>1481</v>
      </c>
      <c r="P3" s="1037" t="s">
        <v>1482</v>
      </c>
      <c r="Q3" s="998"/>
      <c r="R3" s="998"/>
      <c r="S3" s="998"/>
      <c r="T3" s="998"/>
      <c r="U3" s="848"/>
    </row>
    <row r="4" spans="1:21" ht="20.25" hidden="1" customHeight="1" x14ac:dyDescent="0.2">
      <c r="A4" s="1089"/>
      <c r="B4" s="1086"/>
      <c r="C4" s="1086"/>
      <c r="D4" s="1086"/>
      <c r="E4" s="1086"/>
      <c r="F4" s="1086"/>
      <c r="G4" s="1620"/>
      <c r="H4" s="1620"/>
      <c r="I4" s="1675"/>
      <c r="J4" s="1039"/>
      <c r="K4" s="1678"/>
      <c r="L4" s="999"/>
      <c r="M4" s="999"/>
      <c r="N4" s="999"/>
      <c r="O4" s="1042"/>
      <c r="P4" s="1043"/>
      <c r="Q4" s="998"/>
      <c r="R4" s="998"/>
      <c r="S4" s="998"/>
      <c r="T4" s="998"/>
    </row>
    <row r="5" spans="1:21" s="1003" customFormat="1" ht="15.4" customHeight="1" x14ac:dyDescent="0.25">
      <c r="A5" s="1091" t="s">
        <v>297</v>
      </c>
      <c r="B5" s="1078">
        <f>'FICHA DE COSTO'!D289</f>
        <v>199832.74063999997</v>
      </c>
      <c r="C5" s="1079">
        <v>15</v>
      </c>
      <c r="D5" s="1078">
        <f>B5/C5</f>
        <v>13322.182709333332</v>
      </c>
      <c r="E5" s="1078">
        <f t="shared" ref="E5:E11" si="0">(H5*21.74)*F5</f>
        <v>1861551.3631284635</v>
      </c>
      <c r="F5" s="1078">
        <f>D5/21.74</f>
        <v>612.79589279362153</v>
      </c>
      <c r="G5" s="1621">
        <f>F5+F5*G$2%</f>
        <v>735.35507135234582</v>
      </c>
      <c r="H5" s="1621">
        <f>3037.8/21.74</f>
        <v>139.73321067157315</v>
      </c>
      <c r="I5" s="1676">
        <f>H5-G5</f>
        <v>-595.62186068077267</v>
      </c>
      <c r="J5" s="1039">
        <f>3037.8/21.74</f>
        <v>139.73321067157315</v>
      </c>
      <c r="K5" s="1039">
        <f>(J5/F5*100)-100</f>
        <v>-77.197430283914656</v>
      </c>
      <c r="L5" s="1080"/>
      <c r="M5" s="1080"/>
      <c r="N5" s="1080"/>
      <c r="O5" s="1081">
        <f>SALARIOS!F104</f>
        <v>72000</v>
      </c>
      <c r="P5" s="1039">
        <v>5454.5</v>
      </c>
      <c r="Q5" s="1000"/>
      <c r="R5" s="1000"/>
      <c r="S5" s="1000"/>
      <c r="T5" s="1000"/>
      <c r="U5" s="1000"/>
    </row>
    <row r="6" spans="1:21" s="1613" customFormat="1" ht="15.4" customHeight="1" x14ac:dyDescent="0.25">
      <c r="A6" s="1610" t="s">
        <v>316</v>
      </c>
      <c r="B6" s="1611">
        <f>'FICHA DE COSTO'!D121</f>
        <v>205890.88784000004</v>
      </c>
      <c r="C6" s="1612">
        <v>12</v>
      </c>
      <c r="D6" s="1611">
        <f t="shared" ref="D6:D11" si="1">B6/C6</f>
        <v>17157.57398666667</v>
      </c>
      <c r="E6" s="1611">
        <f t="shared" si="0"/>
        <v>0</v>
      </c>
      <c r="F6" s="1611">
        <f t="shared" ref="F6:F11" si="2">D6/21.74</f>
        <v>789.21683471327833</v>
      </c>
      <c r="G6" s="1621">
        <f t="shared" ref="G6:G11" si="3">F6+F6*G$2%</f>
        <v>947.06020165593395</v>
      </c>
      <c r="H6" s="1621"/>
      <c r="I6" s="1676">
        <f t="shared" ref="I6:I11" si="4">H6-G6</f>
        <v>-947.06020165593395</v>
      </c>
      <c r="J6" s="1617"/>
      <c r="K6" s="1039"/>
      <c r="L6" s="1615"/>
      <c r="M6" s="1615"/>
      <c r="N6" s="1615"/>
      <c r="O6" s="1616">
        <f>SALARIOS!F41</f>
        <v>92000</v>
      </c>
      <c r="P6" s="1617">
        <v>5999.95</v>
      </c>
      <c r="Q6" s="1614"/>
      <c r="R6" s="1614"/>
      <c r="S6" s="1614"/>
      <c r="T6" s="1614"/>
      <c r="U6" s="1614"/>
    </row>
    <row r="7" spans="1:21" s="1003" customFormat="1" ht="15.4" customHeight="1" x14ac:dyDescent="0.25">
      <c r="A7" s="1091" t="s">
        <v>1977</v>
      </c>
      <c r="B7" s="1078">
        <f>'FICHA DE COSTO'!D37</f>
        <v>219793.40291999999</v>
      </c>
      <c r="C7" s="1079">
        <v>14</v>
      </c>
      <c r="D7" s="1078">
        <f t="shared" si="1"/>
        <v>15699.528779999999</v>
      </c>
      <c r="E7" s="1078">
        <f t="shared" si="0"/>
        <v>3997819.2882281509</v>
      </c>
      <c r="F7" s="1078">
        <f t="shared" si="2"/>
        <v>722.1494379024839</v>
      </c>
      <c r="G7" s="1621">
        <f t="shared" si="3"/>
        <v>866.57932548298072</v>
      </c>
      <c r="H7" s="1621">
        <f>5536/21.74</f>
        <v>254.64581416743331</v>
      </c>
      <c r="I7" s="1676">
        <f t="shared" si="4"/>
        <v>-611.93351131554743</v>
      </c>
      <c r="J7" s="1039">
        <f>5536/21.74</f>
        <v>254.64581416743331</v>
      </c>
      <c r="K7" s="1039">
        <f>(J7/F7*100)-100</f>
        <v>-64.737795142918927</v>
      </c>
      <c r="L7" s="1080"/>
      <c r="M7" s="1080"/>
      <c r="N7" s="1080"/>
      <c r="O7" s="1083">
        <f>SALARIOS!F11</f>
        <v>96000</v>
      </c>
      <c r="P7" s="1039">
        <v>12892.69</v>
      </c>
      <c r="Q7" s="1000"/>
      <c r="R7" s="1000"/>
      <c r="S7" s="1000"/>
      <c r="T7" s="1000"/>
      <c r="U7" s="1000"/>
    </row>
    <row r="8" spans="1:21" s="1003" customFormat="1" ht="15.4" customHeight="1" x14ac:dyDescent="0.25">
      <c r="A8" s="1091" t="s">
        <v>1463</v>
      </c>
      <c r="B8" s="1078">
        <f>'FICHA DE COSTO'!D79</f>
        <v>234558.87424</v>
      </c>
      <c r="C8" s="1079">
        <v>12</v>
      </c>
      <c r="D8" s="1078">
        <f t="shared" si="1"/>
        <v>19546.572853333335</v>
      </c>
      <c r="E8" s="1078">
        <f t="shared" si="0"/>
        <v>9157398.5515731387</v>
      </c>
      <c r="F8" s="1078">
        <f t="shared" si="2"/>
        <v>899.10638699785352</v>
      </c>
      <c r="G8" s="1621">
        <f t="shared" si="3"/>
        <v>1078.9276643974242</v>
      </c>
      <c r="H8" s="1621">
        <f>10185/21.74</f>
        <v>468.49126034958607</v>
      </c>
      <c r="I8" s="1676">
        <f t="shared" si="4"/>
        <v>-610.4364040478381</v>
      </c>
      <c r="J8" s="1039">
        <f>10185/21.74</f>
        <v>468.49126034958607</v>
      </c>
      <c r="K8" s="1039">
        <f>(J8/F8*100)-100</f>
        <v>-47.893678976756668</v>
      </c>
      <c r="L8" s="1080"/>
      <c r="M8" s="1080"/>
      <c r="N8" s="1080"/>
      <c r="O8" s="1083">
        <f>SALARIOS!F26</f>
        <v>112000</v>
      </c>
      <c r="P8" s="1039">
        <v>27898.22</v>
      </c>
      <c r="Q8" s="1000"/>
      <c r="R8" s="1000"/>
      <c r="S8" s="1000"/>
      <c r="T8" s="1000"/>
      <c r="U8" s="1000"/>
    </row>
    <row r="9" spans="1:21" s="1003" customFormat="1" ht="15.4" customHeight="1" x14ac:dyDescent="0.25">
      <c r="A9" s="1091" t="s">
        <v>317</v>
      </c>
      <c r="B9" s="1078">
        <f>'FICHA DE COSTO'!D247</f>
        <v>160277.92843999999</v>
      </c>
      <c r="C9" s="1079">
        <v>17</v>
      </c>
      <c r="D9" s="1078">
        <f t="shared" si="1"/>
        <v>9428.1134376470582</v>
      </c>
      <c r="E9" s="1078">
        <f t="shared" si="0"/>
        <v>2148863.9412852428</v>
      </c>
      <c r="F9" s="1078">
        <f t="shared" si="2"/>
        <v>433.67587109692084</v>
      </c>
      <c r="G9" s="1621">
        <f t="shared" si="3"/>
        <v>520.41104531630504</v>
      </c>
      <c r="H9" s="1621">
        <f>4955/21.74</f>
        <v>227.92088316467343</v>
      </c>
      <c r="I9" s="1676">
        <f t="shared" si="4"/>
        <v>-292.49016215163158</v>
      </c>
      <c r="J9" s="1039">
        <f>4955/21.74</f>
        <v>227.92088316467343</v>
      </c>
      <c r="K9" s="1039">
        <f>(J9/F9*100)-100</f>
        <v>-47.444416820290172</v>
      </c>
      <c r="L9" s="1080"/>
      <c r="M9" s="1080"/>
      <c r="N9" s="1080"/>
      <c r="O9" s="1082">
        <f>SALARIOS!F89</f>
        <v>72000</v>
      </c>
      <c r="P9" s="1039">
        <v>13418.07</v>
      </c>
      <c r="Q9" s="1000"/>
      <c r="R9" s="1000"/>
      <c r="S9" s="1000"/>
      <c r="T9" s="1000"/>
      <c r="U9" s="1000"/>
    </row>
    <row r="10" spans="1:21" s="1003" customFormat="1" ht="15.4" customHeight="1" x14ac:dyDescent="0.25">
      <c r="A10" s="1091" t="s">
        <v>1471</v>
      </c>
      <c r="B10" s="1078">
        <f>'FICHA DE COSTO'!D163</f>
        <v>288203.19889600005</v>
      </c>
      <c r="C10" s="1079">
        <v>15</v>
      </c>
      <c r="D10" s="1078">
        <f t="shared" si="1"/>
        <v>19213.546593066669</v>
      </c>
      <c r="E10" s="1078">
        <f t="shared" si="0"/>
        <v>5488322.1868879497</v>
      </c>
      <c r="F10" s="1078">
        <f t="shared" si="2"/>
        <v>883.78779176939599</v>
      </c>
      <c r="G10" s="1621">
        <f t="shared" si="3"/>
        <v>1060.5453501232753</v>
      </c>
      <c r="H10" s="1621">
        <f>6210/21.74</f>
        <v>285.64857405703776</v>
      </c>
      <c r="I10" s="1676">
        <f t="shared" si="4"/>
        <v>-774.89677606623752</v>
      </c>
      <c r="J10" s="1039">
        <f>6210/21.74</f>
        <v>285.64857405703776</v>
      </c>
      <c r="K10" s="1039">
        <f>(J10/F10*100)-100</f>
        <v>-67.679054099044265</v>
      </c>
      <c r="L10" s="1080"/>
      <c r="M10" s="1080"/>
      <c r="N10" s="1080"/>
      <c r="O10" s="1083">
        <f>SALARIOS!F57</f>
        <v>124800</v>
      </c>
      <c r="P10" s="1039">
        <v>22516.18</v>
      </c>
      <c r="Q10" s="1000"/>
      <c r="R10" s="1000"/>
      <c r="S10" s="1000"/>
      <c r="T10" s="1000"/>
      <c r="U10" s="1000"/>
    </row>
    <row r="11" spans="1:21" s="1003" customFormat="1" ht="15.4" customHeight="1" thickBot="1" x14ac:dyDescent="0.3">
      <c r="A11" s="1092" t="s">
        <v>464</v>
      </c>
      <c r="B11" s="1093">
        <f>'FICHA DE COSTO'!D205</f>
        <v>241916.74529600001</v>
      </c>
      <c r="C11" s="1094">
        <v>15</v>
      </c>
      <c r="D11" s="1093">
        <f t="shared" si="1"/>
        <v>16127.783019733333</v>
      </c>
      <c r="E11" s="1093">
        <f t="shared" si="0"/>
        <v>1862781.1942295495</v>
      </c>
      <c r="F11" s="1093">
        <f t="shared" si="2"/>
        <v>741.84834497393445</v>
      </c>
      <c r="G11" s="1622">
        <f t="shared" si="3"/>
        <v>890.21801396872138</v>
      </c>
      <c r="H11" s="1622">
        <f>2511/21.74</f>
        <v>115.50137994480221</v>
      </c>
      <c r="I11" s="1676">
        <f t="shared" si="4"/>
        <v>-774.71663402391914</v>
      </c>
      <c r="J11" s="1039">
        <f>2511/21.74</f>
        <v>115.50137994480221</v>
      </c>
      <c r="K11" s="1039">
        <f>(J11/F11*100)-100</f>
        <v>-84.430594106284559</v>
      </c>
      <c r="L11" s="1080"/>
      <c r="M11" s="1080"/>
      <c r="N11" s="1080"/>
      <c r="O11" s="1081">
        <f>SALARIOS!F73</f>
        <v>124800</v>
      </c>
      <c r="P11" s="1039">
        <v>7199.94</v>
      </c>
      <c r="Q11" s="1000"/>
      <c r="R11" s="1000"/>
      <c r="S11" s="1000"/>
      <c r="T11" s="1000"/>
      <c r="U11" s="1000"/>
    </row>
    <row r="12" spans="1:21" s="1003" customFormat="1" ht="15.4" customHeight="1" thickBot="1" x14ac:dyDescent="0.3">
      <c r="A12" s="1697"/>
      <c r="B12" s="1698"/>
      <c r="C12" s="1699"/>
      <c r="D12" s="1698"/>
      <c r="E12" s="1698"/>
      <c r="F12" s="1698"/>
      <c r="G12" s="1700"/>
      <c r="H12" s="1700"/>
      <c r="I12" s="1701"/>
      <c r="J12" s="1000"/>
      <c r="K12" s="1000"/>
      <c r="L12" s="1080"/>
      <c r="M12" s="1080"/>
      <c r="N12" s="1080"/>
      <c r="O12" s="1702"/>
      <c r="P12" s="1000"/>
      <c r="Q12" s="1000"/>
      <c r="R12" s="1000"/>
      <c r="S12" s="1000"/>
      <c r="T12" s="1000"/>
      <c r="U12" s="1000"/>
    </row>
    <row r="13" spans="1:21" ht="15.4" customHeight="1" thickBot="1" x14ac:dyDescent="0.25">
      <c r="A13" s="1708" t="s">
        <v>269</v>
      </c>
      <c r="B13" s="1709"/>
      <c r="C13" s="1710"/>
      <c r="D13" s="1758" t="s">
        <v>2052</v>
      </c>
      <c r="E13" s="1759"/>
      <c r="F13" s="1760"/>
      <c r="G13" s="1711"/>
      <c r="H13" s="1712"/>
      <c r="I13" s="1713">
        <f>G13-H13</f>
        <v>0</v>
      </c>
      <c r="J13" s="1714"/>
      <c r="K13" s="997"/>
      <c r="L13" s="1001"/>
      <c r="M13" s="1001"/>
      <c r="N13" s="1001"/>
      <c r="O13" s="1002"/>
      <c r="S13" s="997"/>
      <c r="T13" s="997"/>
    </row>
    <row r="14" spans="1:21" ht="15.4" customHeight="1" x14ac:dyDescent="0.25">
      <c r="A14" s="1704" t="s">
        <v>297</v>
      </c>
      <c r="B14" s="1461" t="s">
        <v>890</v>
      </c>
      <c r="C14" s="1705"/>
      <c r="D14" s="1703" t="s">
        <v>2049</v>
      </c>
      <c r="E14" s="1703"/>
      <c r="F14" s="1703" t="s">
        <v>2050</v>
      </c>
      <c r="G14" s="1704"/>
      <c r="H14" s="1706"/>
      <c r="I14" s="1706"/>
      <c r="J14" s="1707" t="s">
        <v>2051</v>
      </c>
    </row>
    <row r="15" spans="1:21" ht="27.4" customHeight="1" x14ac:dyDescent="0.25">
      <c r="A15" s="1723" t="s">
        <v>935</v>
      </c>
      <c r="B15" s="1722">
        <v>1.85</v>
      </c>
      <c r="C15" s="1624"/>
      <c r="D15" s="1686">
        <f>IM!I32</f>
        <v>5.5798569889289249</v>
      </c>
      <c r="E15" s="846"/>
      <c r="F15" s="1686">
        <f>'FICHA DE COSTO'!E263</f>
        <v>1.8515484440387948</v>
      </c>
      <c r="G15" s="995"/>
      <c r="H15" s="1074"/>
      <c r="I15" s="1074"/>
      <c r="J15" s="1039"/>
    </row>
    <row r="16" spans="1:21" ht="27.4" customHeight="1" x14ac:dyDescent="0.25">
      <c r="A16" s="1723" t="s">
        <v>234</v>
      </c>
      <c r="B16" s="1722">
        <v>13.99</v>
      </c>
      <c r="C16" s="1624"/>
      <c r="D16" s="1686">
        <f>IM!I31</f>
        <v>4.4020547434279811</v>
      </c>
      <c r="E16" s="846"/>
      <c r="F16" s="1686">
        <f>'FICHA DE COSTO'!E262</f>
        <v>1.4607215967970926</v>
      </c>
      <c r="G16" s="995"/>
      <c r="H16" s="1074"/>
      <c r="I16" s="1074"/>
      <c r="J16" s="1039"/>
    </row>
    <row r="17" spans="1:20" ht="17.25" customHeight="1" x14ac:dyDescent="0.2">
      <c r="B17" s="997"/>
    </row>
    <row r="18" spans="1:20" ht="17.25" hidden="1" customHeight="1" x14ac:dyDescent="0.2">
      <c r="A18" s="1750" t="s">
        <v>2006</v>
      </c>
      <c r="B18" s="1751" t="s">
        <v>2007</v>
      </c>
      <c r="C18" s="1753" t="s">
        <v>2008</v>
      </c>
      <c r="D18" s="1751" t="s">
        <v>2009</v>
      </c>
      <c r="E18" s="989" t="s">
        <v>2010</v>
      </c>
      <c r="F18" s="1751" t="s">
        <v>2010</v>
      </c>
      <c r="G18" s="995"/>
      <c r="H18" s="1074"/>
      <c r="I18" s="1074"/>
      <c r="J18" s="1756" t="s">
        <v>2012</v>
      </c>
      <c r="K18" s="1753" t="s">
        <v>2011</v>
      </c>
      <c r="L18" s="1746" t="s">
        <v>2014</v>
      </c>
      <c r="M18" s="1746" t="s">
        <v>2013</v>
      </c>
      <c r="N18" s="1746" t="s">
        <v>2013</v>
      </c>
      <c r="O18" s="1746" t="s">
        <v>2013</v>
      </c>
      <c r="P18" s="1746" t="s">
        <v>2013</v>
      </c>
      <c r="Q18" s="1746" t="s">
        <v>2013</v>
      </c>
      <c r="R18" s="1746" t="s">
        <v>2015</v>
      </c>
      <c r="S18" s="1746" t="s">
        <v>2016</v>
      </c>
      <c r="T18" s="1746" t="s">
        <v>2017</v>
      </c>
    </row>
    <row r="19" spans="1:20" ht="17.25" hidden="1" customHeight="1" x14ac:dyDescent="0.2">
      <c r="A19" s="1750"/>
      <c r="B19" s="1752"/>
      <c r="C19" s="1754"/>
      <c r="D19" s="1755"/>
      <c r="E19" s="995"/>
      <c r="F19" s="1755"/>
      <c r="G19" s="995"/>
      <c r="H19" s="1074"/>
      <c r="I19" s="1074"/>
      <c r="J19" s="1757"/>
      <c r="K19" s="1753"/>
      <c r="L19" s="1747"/>
      <c r="M19" s="1747"/>
      <c r="N19" s="1747"/>
      <c r="O19" s="1747"/>
      <c r="P19" s="1747"/>
      <c r="Q19" s="1747"/>
      <c r="R19" s="1747"/>
      <c r="S19" s="1747"/>
      <c r="T19" s="1747"/>
    </row>
    <row r="20" spans="1:20" ht="17.25" hidden="1" customHeight="1" x14ac:dyDescent="0.2">
      <c r="A20" s="1625" t="s">
        <v>297</v>
      </c>
      <c r="B20" s="995"/>
      <c r="C20" s="1624"/>
      <c r="D20" s="995"/>
      <c r="E20" s="995"/>
      <c r="F20" s="995"/>
      <c r="G20" s="995"/>
      <c r="H20" s="1074"/>
      <c r="I20" s="1074"/>
      <c r="J20" s="1039"/>
      <c r="K20" s="995"/>
      <c r="L20" s="995"/>
      <c r="M20" s="995">
        <f>J20*K20*L20</f>
        <v>0</v>
      </c>
      <c r="N20" s="995"/>
      <c r="O20" s="995"/>
      <c r="P20" s="1074"/>
      <c r="Q20" s="1074"/>
      <c r="R20" s="1074" t="e">
        <f>M20/L20</f>
        <v>#DIV/0!</v>
      </c>
      <c r="S20" s="995"/>
      <c r="T20" s="995" t="e">
        <f>R20/S20</f>
        <v>#DIV/0!</v>
      </c>
    </row>
    <row r="21" spans="1:20" ht="17.25" hidden="1" customHeight="1" x14ac:dyDescent="0.2">
      <c r="A21" s="1626" t="s">
        <v>316</v>
      </c>
      <c r="B21" s="995"/>
      <c r="C21" s="1624"/>
      <c r="D21" s="995"/>
      <c r="E21" s="995"/>
      <c r="F21" s="995"/>
      <c r="G21" s="995"/>
      <c r="H21" s="1074"/>
      <c r="I21" s="1074"/>
      <c r="J21" s="1039">
        <f t="shared" ref="J21:J26" si="5">(B21+C21+D21+F21)/4</f>
        <v>0</v>
      </c>
      <c r="K21" s="995"/>
      <c r="L21" s="995"/>
      <c r="M21" s="995">
        <f t="shared" ref="M21:M26" si="6">J21*K21*L21</f>
        <v>0</v>
      </c>
      <c r="N21" s="995"/>
      <c r="O21" s="995"/>
      <c r="P21" s="1074"/>
      <c r="Q21" s="1074"/>
      <c r="R21" s="1074" t="e">
        <f t="shared" ref="R21:R26" si="7">M21/L21</f>
        <v>#DIV/0!</v>
      </c>
      <c r="S21" s="995"/>
      <c r="T21" s="995" t="e">
        <f t="shared" ref="T21:T26" si="8">R21/S21</f>
        <v>#DIV/0!</v>
      </c>
    </row>
    <row r="22" spans="1:20" ht="17.25" hidden="1" customHeight="1" x14ac:dyDescent="0.2">
      <c r="A22" s="1625" t="s">
        <v>1977</v>
      </c>
      <c r="B22" s="995"/>
      <c r="C22" s="1624"/>
      <c r="D22" s="995"/>
      <c r="E22" s="995"/>
      <c r="F22" s="995"/>
      <c r="G22" s="995"/>
      <c r="H22" s="1074"/>
      <c r="I22" s="1074"/>
      <c r="J22" s="1039">
        <f t="shared" si="5"/>
        <v>0</v>
      </c>
      <c r="K22" s="995"/>
      <c r="L22" s="995"/>
      <c r="M22" s="995">
        <f t="shared" si="6"/>
        <v>0</v>
      </c>
      <c r="N22" s="995"/>
      <c r="O22" s="995"/>
      <c r="P22" s="1074"/>
      <c r="Q22" s="1074"/>
      <c r="R22" s="1074" t="e">
        <f t="shared" si="7"/>
        <v>#DIV/0!</v>
      </c>
      <c r="S22" s="995"/>
      <c r="T22" s="995" t="e">
        <f t="shared" si="8"/>
        <v>#DIV/0!</v>
      </c>
    </row>
    <row r="23" spans="1:20" ht="19.149999999999999" hidden="1" customHeight="1" x14ac:dyDescent="0.2">
      <c r="A23" s="1625" t="s">
        <v>1463</v>
      </c>
      <c r="B23" s="995"/>
      <c r="C23" s="1624"/>
      <c r="D23" s="1627"/>
      <c r="E23" s="995"/>
      <c r="F23" s="995"/>
      <c r="G23" s="995"/>
      <c r="H23" s="1074"/>
      <c r="I23" s="1074"/>
      <c r="J23" s="1039">
        <f t="shared" si="5"/>
        <v>0</v>
      </c>
      <c r="K23" s="995"/>
      <c r="L23" s="995"/>
      <c r="M23" s="995">
        <f t="shared" si="6"/>
        <v>0</v>
      </c>
      <c r="N23" s="995"/>
      <c r="O23" s="995"/>
      <c r="P23" s="1074"/>
      <c r="Q23" s="1074"/>
      <c r="R23" s="1074" t="e">
        <f t="shared" si="7"/>
        <v>#DIV/0!</v>
      </c>
      <c r="S23" s="995"/>
      <c r="T23" s="995" t="e">
        <f t="shared" si="8"/>
        <v>#DIV/0!</v>
      </c>
    </row>
    <row r="24" spans="1:20" ht="18" hidden="1" x14ac:dyDescent="0.2">
      <c r="A24" s="1625" t="s">
        <v>317</v>
      </c>
      <c r="B24" s="995"/>
      <c r="C24" s="1624"/>
      <c r="D24" s="995"/>
      <c r="E24" s="995"/>
      <c r="F24" s="995"/>
      <c r="G24" s="995"/>
      <c r="H24" s="1074"/>
      <c r="I24" s="1074"/>
      <c r="J24" s="1039">
        <f t="shared" si="5"/>
        <v>0</v>
      </c>
      <c r="K24" s="995"/>
      <c r="L24" s="995"/>
      <c r="M24" s="995">
        <f t="shared" si="6"/>
        <v>0</v>
      </c>
      <c r="N24" s="995"/>
      <c r="O24" s="995"/>
      <c r="P24" s="1074"/>
      <c r="Q24" s="1074"/>
      <c r="R24" s="1074" t="e">
        <f t="shared" si="7"/>
        <v>#DIV/0!</v>
      </c>
      <c r="S24" s="995"/>
      <c r="T24" s="995" t="e">
        <f t="shared" si="8"/>
        <v>#DIV/0!</v>
      </c>
    </row>
    <row r="25" spans="1:20" ht="18" hidden="1" x14ac:dyDescent="0.2">
      <c r="A25" s="1625" t="s">
        <v>1471</v>
      </c>
      <c r="B25" s="995"/>
      <c r="C25" s="1624"/>
      <c r="D25" s="995"/>
      <c r="E25" s="995"/>
      <c r="F25" s="995"/>
      <c r="G25" s="995"/>
      <c r="H25" s="1074"/>
      <c r="I25" s="1074"/>
      <c r="J25" s="1039">
        <f t="shared" si="5"/>
        <v>0</v>
      </c>
      <c r="K25" s="995"/>
      <c r="L25" s="995"/>
      <c r="M25" s="995">
        <f t="shared" si="6"/>
        <v>0</v>
      </c>
      <c r="N25" s="995"/>
      <c r="O25" s="995"/>
      <c r="P25" s="1074"/>
      <c r="Q25" s="1074"/>
      <c r="R25" s="1074" t="e">
        <f t="shared" si="7"/>
        <v>#DIV/0!</v>
      </c>
      <c r="S25" s="995"/>
      <c r="T25" s="995" t="e">
        <f t="shared" si="8"/>
        <v>#DIV/0!</v>
      </c>
    </row>
    <row r="26" spans="1:20" ht="18" hidden="1" x14ac:dyDescent="0.2">
      <c r="A26" s="1625" t="s">
        <v>464</v>
      </c>
      <c r="B26" s="995"/>
      <c r="C26" s="1624"/>
      <c r="D26" s="995"/>
      <c r="E26" s="995"/>
      <c r="F26" s="995"/>
      <c r="G26" s="995"/>
      <c r="H26" s="1074"/>
      <c r="I26" s="1074"/>
      <c r="J26" s="1039">
        <f t="shared" si="5"/>
        <v>0</v>
      </c>
      <c r="K26" s="995"/>
      <c r="L26" s="995"/>
      <c r="M26" s="995">
        <f t="shared" si="6"/>
        <v>0</v>
      </c>
      <c r="N26" s="995"/>
      <c r="O26" s="995"/>
      <c r="P26" s="1074"/>
      <c r="Q26" s="1074"/>
      <c r="R26" s="1074" t="e">
        <f t="shared" si="7"/>
        <v>#DIV/0!</v>
      </c>
      <c r="S26" s="995"/>
      <c r="T26" s="995" t="e">
        <f t="shared" si="8"/>
        <v>#DIV/0!</v>
      </c>
    </row>
    <row r="27" spans="1:20" hidden="1" x14ac:dyDescent="0.2"/>
    <row r="28" spans="1:20" ht="18" x14ac:dyDescent="0.25">
      <c r="A28" s="1091" t="s">
        <v>1977</v>
      </c>
      <c r="B28" s="989" t="s">
        <v>890</v>
      </c>
      <c r="C28" s="1624"/>
      <c r="D28" s="1689" t="s">
        <v>2049</v>
      </c>
      <c r="E28" s="1689"/>
      <c r="F28" s="1689" t="s">
        <v>2050</v>
      </c>
      <c r="G28" s="995"/>
      <c r="H28" s="1074"/>
      <c r="I28" s="1074"/>
      <c r="J28" s="1690" t="s">
        <v>2051</v>
      </c>
    </row>
    <row r="29" spans="1:20" ht="15.75" x14ac:dyDescent="0.25">
      <c r="A29" s="1687" t="s">
        <v>935</v>
      </c>
      <c r="B29" s="1688"/>
      <c r="C29" s="1624"/>
      <c r="D29" s="1686">
        <f>IM!I64</f>
        <v>8.1539105714348672</v>
      </c>
      <c r="E29" s="846"/>
      <c r="F29" s="1686">
        <f>'FICHA DE COSTO'!E11</f>
        <v>1.0100394145169278</v>
      </c>
      <c r="G29" s="995"/>
      <c r="H29" s="1074"/>
      <c r="I29" s="1074"/>
      <c r="J29" s="1039"/>
    </row>
    <row r="30" spans="1:20" ht="15.75" x14ac:dyDescent="0.25">
      <c r="A30" s="1687" t="s">
        <v>234</v>
      </c>
      <c r="B30" s="1688"/>
      <c r="C30" s="1624"/>
      <c r="D30" s="1686">
        <f>IM!I63</f>
        <v>10.7212905216299</v>
      </c>
      <c r="E30" s="846"/>
      <c r="F30" s="1686">
        <f>'FICHA DE COSTO'!E10</f>
        <v>1.3280653382769876</v>
      </c>
      <c r="G30" s="995"/>
      <c r="H30" s="1074"/>
      <c r="I30" s="1074"/>
      <c r="J30" s="1039"/>
    </row>
    <row r="32" spans="1:20" ht="15.75" x14ac:dyDescent="0.25">
      <c r="A32" s="1691" t="s">
        <v>1463</v>
      </c>
      <c r="B32" s="989" t="s">
        <v>890</v>
      </c>
      <c r="C32" s="1624"/>
      <c r="D32" s="1689" t="s">
        <v>2049</v>
      </c>
      <c r="E32" s="1689"/>
      <c r="F32" s="1689" t="s">
        <v>2050</v>
      </c>
      <c r="G32" s="995"/>
      <c r="H32" s="1074"/>
      <c r="I32" s="1074"/>
      <c r="J32" s="1690" t="s">
        <v>2051</v>
      </c>
    </row>
    <row r="33" spans="1:10" ht="15.75" x14ac:dyDescent="0.25">
      <c r="A33" s="1687" t="s">
        <v>935</v>
      </c>
      <c r="B33" s="1688"/>
      <c r="C33" s="1624"/>
      <c r="D33" s="1686">
        <f>IM!I96</f>
        <v>30.591996472274282</v>
      </c>
      <c r="E33" s="846"/>
      <c r="F33" s="1686">
        <f>'FICHA DE COSTO'!E53</f>
        <v>2.3661436890770777</v>
      </c>
      <c r="G33" s="995"/>
      <c r="H33" s="1074"/>
      <c r="I33" s="1074"/>
      <c r="J33" s="1039"/>
    </row>
    <row r="34" spans="1:10" ht="15.75" x14ac:dyDescent="0.25">
      <c r="A34" s="1687" t="s">
        <v>234</v>
      </c>
      <c r="B34" s="1688"/>
      <c r="C34" s="1624"/>
      <c r="D34" s="1686">
        <f>IM!I95</f>
        <v>16.855914452651309</v>
      </c>
      <c r="E34" s="846"/>
      <c r="F34" s="1686">
        <f>'FICHA DE COSTO'!E52</f>
        <v>1.3037238560716584</v>
      </c>
      <c r="G34" s="995"/>
      <c r="H34" s="1074"/>
      <c r="I34" s="1074"/>
      <c r="J34" s="1039"/>
    </row>
    <row r="36" spans="1:10" ht="18" x14ac:dyDescent="0.25">
      <c r="A36" s="1091" t="s">
        <v>317</v>
      </c>
      <c r="B36" s="989" t="s">
        <v>890</v>
      </c>
      <c r="C36" s="1624"/>
      <c r="D36" s="1689" t="s">
        <v>2049</v>
      </c>
      <c r="E36" s="1689"/>
      <c r="F36" s="1689" t="s">
        <v>2050</v>
      </c>
      <c r="G36" s="995"/>
      <c r="H36" s="1074"/>
      <c r="I36" s="1074"/>
      <c r="J36" s="1690" t="s">
        <v>2051</v>
      </c>
    </row>
    <row r="37" spans="1:10" ht="15.75" x14ac:dyDescent="0.25">
      <c r="A37" s="1687" t="s">
        <v>935</v>
      </c>
      <c r="B37" s="1688"/>
      <c r="C37" s="1624"/>
      <c r="D37" s="1686">
        <f>IM!I217</f>
        <v>32.198178337297669</v>
      </c>
      <c r="E37" s="846"/>
      <c r="F37" s="1686">
        <f>'FICHA DE COSTO'!E221</f>
        <v>3.4627350465648434</v>
      </c>
      <c r="G37" s="995"/>
      <c r="H37" s="1074"/>
      <c r="I37" s="1074"/>
      <c r="J37" s="1039"/>
    </row>
    <row r="38" spans="1:10" ht="15.75" x14ac:dyDescent="0.25">
      <c r="A38" s="1687" t="s">
        <v>234</v>
      </c>
      <c r="B38" s="1688"/>
      <c r="C38" s="1624"/>
      <c r="D38" s="1686">
        <f>IM!I216</f>
        <v>16.934501363346289</v>
      </c>
      <c r="E38" s="846"/>
      <c r="F38" s="1686">
        <f>'FICHA DE COSTO'!E220</f>
        <v>1.8212114596257258</v>
      </c>
      <c r="G38" s="995"/>
      <c r="H38" s="1074"/>
      <c r="I38" s="1074"/>
      <c r="J38" s="1039"/>
    </row>
    <row r="40" spans="1:10" ht="18" x14ac:dyDescent="0.25">
      <c r="A40" s="1091" t="s">
        <v>1471</v>
      </c>
      <c r="B40" s="989" t="s">
        <v>890</v>
      </c>
      <c r="C40" s="1624"/>
      <c r="D40" s="1689" t="s">
        <v>2049</v>
      </c>
      <c r="E40" s="1689"/>
      <c r="F40" s="1689" t="s">
        <v>2050</v>
      </c>
      <c r="G40" s="995"/>
      <c r="H40" s="1074"/>
      <c r="I40" s="1074"/>
      <c r="J40" s="1690" t="s">
        <v>2051</v>
      </c>
    </row>
    <row r="41" spans="1:10" ht="15.75" x14ac:dyDescent="0.25">
      <c r="A41" s="1687" t="s">
        <v>935</v>
      </c>
      <c r="B41" s="1688"/>
      <c r="C41" s="1624"/>
      <c r="D41" s="1686">
        <f>IM!I157</f>
        <v>54.66386157337368</v>
      </c>
      <c r="E41" s="846"/>
      <c r="F41" s="1686">
        <f>'FICHA DE COSTO'!E137</f>
        <v>6.4190821166686085</v>
      </c>
      <c r="G41" s="995"/>
      <c r="H41" s="1074"/>
      <c r="I41" s="1074"/>
      <c r="J41" s="1039"/>
    </row>
    <row r="42" spans="1:10" ht="15.75" x14ac:dyDescent="0.25">
      <c r="A42" s="1687" t="s">
        <v>234</v>
      </c>
      <c r="B42" s="1688"/>
      <c r="C42" s="1624"/>
      <c r="D42" s="1686">
        <f>IM!I156</f>
        <v>8.6250709152798795</v>
      </c>
      <c r="E42" s="846"/>
      <c r="F42" s="1686">
        <f>'FICHA DE COSTO'!E136</f>
        <v>1.012827064786793</v>
      </c>
      <c r="G42" s="995"/>
      <c r="H42" s="1074"/>
      <c r="I42" s="1074"/>
      <c r="J42" s="1039"/>
    </row>
    <row r="44" spans="1:10" ht="18.75" thickBot="1" x14ac:dyDescent="0.3">
      <c r="A44" s="1092" t="s">
        <v>464</v>
      </c>
      <c r="B44" s="989" t="s">
        <v>890</v>
      </c>
      <c r="C44" s="1624"/>
      <c r="D44" s="1689" t="s">
        <v>2049</v>
      </c>
      <c r="E44" s="1689"/>
      <c r="F44" s="1689" t="s">
        <v>2050</v>
      </c>
      <c r="G44" s="995"/>
      <c r="H44" s="1074"/>
      <c r="I44" s="1074"/>
      <c r="J44" s="1690" t="s">
        <v>2051</v>
      </c>
    </row>
    <row r="45" spans="1:10" ht="15.75" x14ac:dyDescent="0.25">
      <c r="A45" s="1687" t="s">
        <v>935</v>
      </c>
      <c r="B45" s="1688"/>
      <c r="C45" s="1624"/>
      <c r="D45" s="1686">
        <f>IM!I127</f>
        <v>52.844822464248331</v>
      </c>
      <c r="E45" s="846"/>
      <c r="F45" s="1686">
        <f>'FICHA DE COSTO'!E179</f>
        <v>7.6472589681066161</v>
      </c>
      <c r="G45" s="995"/>
      <c r="H45" s="1074"/>
      <c r="I45" s="1074"/>
      <c r="J45" s="1039"/>
    </row>
    <row r="46" spans="1:10" ht="15.75" x14ac:dyDescent="0.25">
      <c r="A46" s="1687" t="s">
        <v>234</v>
      </c>
      <c r="B46" s="1688"/>
      <c r="C46" s="1624"/>
      <c r="D46" s="1686">
        <f>IM!I126</f>
        <v>7.1469051786783417</v>
      </c>
      <c r="E46" s="846"/>
      <c r="F46" s="1686">
        <f>'FICHA DE COSTO'!E178</f>
        <v>1.0342401047677163</v>
      </c>
      <c r="G46" s="995"/>
      <c r="H46" s="1074"/>
      <c r="I46" s="1074"/>
      <c r="J46" s="1039"/>
    </row>
    <row r="48" spans="1:10" ht="18.75" thickBot="1" x14ac:dyDescent="0.3">
      <c r="A48" s="1092" t="s">
        <v>316</v>
      </c>
      <c r="B48" s="989" t="s">
        <v>890</v>
      </c>
      <c r="C48" s="1624"/>
      <c r="D48" s="1689" t="s">
        <v>2049</v>
      </c>
      <c r="E48" s="1689"/>
      <c r="F48" s="1689" t="s">
        <v>2050</v>
      </c>
      <c r="G48" s="995"/>
      <c r="H48" s="1074"/>
      <c r="I48" s="1074"/>
      <c r="J48" s="1690" t="s">
        <v>2051</v>
      </c>
    </row>
    <row r="49" spans="1:10" ht="15.75" x14ac:dyDescent="0.25">
      <c r="A49" s="1687" t="s">
        <v>935</v>
      </c>
      <c r="B49" s="1688"/>
      <c r="C49" s="1624"/>
      <c r="D49" s="1686">
        <f>IM!I189</f>
        <v>35.402253803158878</v>
      </c>
      <c r="E49" s="846"/>
      <c r="F49" s="1686">
        <f>'FICHA DE COSTO'!E183</f>
        <v>16.534613985095387</v>
      </c>
      <c r="G49" s="995"/>
      <c r="H49" s="1074"/>
      <c r="I49" s="1074"/>
      <c r="J49" s="1039"/>
    </row>
    <row r="50" spans="1:10" ht="15.75" x14ac:dyDescent="0.25">
      <c r="A50" s="1687" t="s">
        <v>234</v>
      </c>
      <c r="B50" s="1688"/>
      <c r="C50" s="1624"/>
      <c r="D50" s="1686">
        <f>IM!I188</f>
        <v>11.171803119072514</v>
      </c>
      <c r="E50" s="846"/>
      <c r="F50" s="1686">
        <f>'FICHA DE COSTO'!E94</f>
        <v>1.4177412272214713</v>
      </c>
      <c r="G50" s="995"/>
      <c r="H50" s="1074"/>
      <c r="I50" s="1074"/>
      <c r="J50" s="1039"/>
    </row>
  </sheetData>
  <mergeCells count="19">
    <mergeCell ref="T18:T19"/>
    <mergeCell ref="A1:H1"/>
    <mergeCell ref="D2:F2"/>
    <mergeCell ref="A18:A19"/>
    <mergeCell ref="B18:B19"/>
    <mergeCell ref="C18:C19"/>
    <mergeCell ref="D18:D19"/>
    <mergeCell ref="J18:J19"/>
    <mergeCell ref="K18:K19"/>
    <mergeCell ref="L18:L19"/>
    <mergeCell ref="F18:F19"/>
    <mergeCell ref="R18:R19"/>
    <mergeCell ref="D13:F13"/>
    <mergeCell ref="P18:P19"/>
    <mergeCell ref="Q18:Q19"/>
    <mergeCell ref="S18:S19"/>
    <mergeCell ref="M18:M19"/>
    <mergeCell ref="N18:N19"/>
    <mergeCell ref="O18:O19"/>
  </mergeCells>
  <pageMargins left="0.78740157480314965" right="0.19685039370078741" top="0.98425196850393704" bottom="0.39370078740157483" header="0" footer="0"/>
  <pageSetup orientation="landscape" horizontalDpi="300" verticalDpi="300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5"/>
  <sheetViews>
    <sheetView showZeros="0" workbookViewId="0">
      <selection sqref="A1:IV65536"/>
    </sheetView>
  </sheetViews>
  <sheetFormatPr baseColWidth="10" defaultColWidth="11.42578125" defaultRowHeight="27.75" customHeight="1" x14ac:dyDescent="0.25"/>
  <cols>
    <col min="1" max="1" width="58.28515625" style="716" customWidth="1"/>
    <col min="2" max="2" width="10.42578125" style="716" customWidth="1"/>
    <col min="3" max="3" width="18.7109375" style="714" customWidth="1"/>
    <col min="4" max="4" width="18.7109375" style="971" customWidth="1"/>
    <col min="5" max="5" width="23.28515625" style="972" customWidth="1"/>
    <col min="6" max="6" width="31.5703125" style="715" customWidth="1"/>
    <col min="7" max="14" width="11.42578125" style="716"/>
    <col min="15" max="15" width="16.7109375" style="716" customWidth="1"/>
    <col min="16" max="16" width="20.28515625" style="716" customWidth="1"/>
    <col min="17" max="17" width="19.28515625" style="716" customWidth="1"/>
    <col min="18" max="18" width="11.42578125" style="716"/>
    <col min="19" max="19" width="45.28515625" style="716" customWidth="1"/>
    <col min="20" max="16384" width="11.42578125" style="716"/>
  </cols>
  <sheetData>
    <row r="1" spans="1:21" ht="27.75" customHeight="1" thickBot="1" x14ac:dyDescent="0.3">
      <c r="A1" s="2485" t="s">
        <v>989</v>
      </c>
      <c r="B1" s="2485"/>
      <c r="C1" s="2485"/>
      <c r="D1" s="966"/>
      <c r="F1" s="2477" t="s">
        <v>1342</v>
      </c>
      <c r="G1" s="2478"/>
      <c r="H1" s="2478"/>
      <c r="I1" s="2479"/>
    </row>
    <row r="2" spans="1:21" ht="27.75" customHeight="1" thickBot="1" x14ac:dyDescent="0.3">
      <c r="A2" s="2486" t="s">
        <v>246</v>
      </c>
      <c r="B2" s="2488" t="s">
        <v>226</v>
      </c>
      <c r="C2" s="717" t="s">
        <v>990</v>
      </c>
      <c r="D2" s="967"/>
      <c r="E2" s="973"/>
      <c r="F2" s="2480"/>
      <c r="G2" s="2481"/>
      <c r="H2" s="2481"/>
      <c r="I2" s="2482"/>
      <c r="J2" s="718"/>
      <c r="K2" s="718"/>
      <c r="L2" s="718"/>
      <c r="M2" s="718"/>
      <c r="N2" s="718"/>
      <c r="O2" s="719"/>
      <c r="P2" s="719"/>
      <c r="Q2" s="719"/>
    </row>
    <row r="3" spans="1:21" ht="27.75" customHeight="1" x14ac:dyDescent="0.25">
      <c r="A3" s="2487"/>
      <c r="B3" s="2489"/>
      <c r="C3" s="721" t="s">
        <v>991</v>
      </c>
      <c r="D3" s="967" t="s">
        <v>325</v>
      </c>
      <c r="E3" s="973"/>
      <c r="F3" s="835" t="s">
        <v>1343</v>
      </c>
      <c r="G3" s="835" t="s">
        <v>1344</v>
      </c>
      <c r="H3" s="836" t="s">
        <v>890</v>
      </c>
      <c r="I3" s="835" t="s">
        <v>325</v>
      </c>
      <c r="J3" s="718"/>
      <c r="K3" s="718"/>
      <c r="L3" s="718"/>
      <c r="M3" s="718"/>
      <c r="N3" s="718"/>
      <c r="O3" s="719"/>
      <c r="P3" s="719"/>
      <c r="Q3" s="719"/>
    </row>
    <row r="4" spans="1:21" ht="27.75" customHeight="1" x14ac:dyDescent="0.25">
      <c r="A4" s="747" t="s">
        <v>992</v>
      </c>
      <c r="B4" s="748"/>
      <c r="C4" s="749"/>
      <c r="D4" s="968"/>
      <c r="E4" s="974"/>
      <c r="F4" s="952" t="s">
        <v>1348</v>
      </c>
      <c r="G4" s="947" t="s">
        <v>638</v>
      </c>
      <c r="H4" s="948">
        <v>20.03</v>
      </c>
      <c r="I4" s="979">
        <f>H4/3</f>
        <v>6.6766666666666667</v>
      </c>
      <c r="J4" s="722"/>
      <c r="K4" s="722"/>
      <c r="L4" s="722"/>
      <c r="M4" s="722"/>
      <c r="N4" s="722"/>
      <c r="O4" s="723"/>
      <c r="P4" s="724"/>
      <c r="Q4" s="724"/>
    </row>
    <row r="5" spans="1:21" ht="27.75" customHeight="1" x14ac:dyDescent="0.25">
      <c r="A5" s="726" t="s">
        <v>234</v>
      </c>
      <c r="B5" s="725" t="s">
        <v>638</v>
      </c>
      <c r="C5" s="750">
        <v>2</v>
      </c>
      <c r="D5" s="969">
        <v>0.55489999999999995</v>
      </c>
      <c r="E5" s="975"/>
      <c r="F5" s="953" t="s">
        <v>1361</v>
      </c>
      <c r="G5" s="834" t="s">
        <v>292</v>
      </c>
      <c r="H5" s="949">
        <v>4</v>
      </c>
      <c r="I5" s="979">
        <f t="shared" ref="I5:I28" si="0">H5/3</f>
        <v>1.3333333333333333</v>
      </c>
      <c r="J5" s="718"/>
      <c r="K5" s="718"/>
      <c r="L5" s="718"/>
      <c r="M5" s="718"/>
      <c r="N5" s="718"/>
      <c r="O5" s="723"/>
      <c r="P5" s="724"/>
      <c r="Q5" s="724"/>
    </row>
    <row r="6" spans="1:21" ht="27.75" customHeight="1" x14ac:dyDescent="0.25">
      <c r="A6" s="720" t="s">
        <v>993</v>
      </c>
      <c r="B6" s="726"/>
      <c r="C6" s="751"/>
      <c r="D6" s="970"/>
      <c r="E6" s="975"/>
      <c r="F6" s="953" t="s">
        <v>1356</v>
      </c>
      <c r="G6" s="834" t="s">
        <v>292</v>
      </c>
      <c r="H6" s="949">
        <v>17</v>
      </c>
      <c r="I6" s="979">
        <f t="shared" si="0"/>
        <v>5.666666666666667</v>
      </c>
      <c r="J6" s="728"/>
      <c r="K6" s="729"/>
      <c r="L6" s="728"/>
      <c r="M6" s="728"/>
      <c r="N6" s="728"/>
      <c r="O6" s="730"/>
      <c r="P6" s="729"/>
      <c r="Q6" s="718"/>
    </row>
    <row r="7" spans="1:21" ht="27.75" customHeight="1" x14ac:dyDescent="0.25">
      <c r="A7" s="726" t="s">
        <v>994</v>
      </c>
      <c r="B7" s="725" t="s">
        <v>658</v>
      </c>
      <c r="C7" s="750">
        <v>60</v>
      </c>
      <c r="D7" s="976">
        <f>C7/3</f>
        <v>20</v>
      </c>
      <c r="E7" s="975">
        <f>C7*1000</f>
        <v>60000</v>
      </c>
      <c r="F7" s="953" t="s">
        <v>1359</v>
      </c>
      <c r="G7" s="834" t="s">
        <v>292</v>
      </c>
      <c r="H7" s="949">
        <v>79</v>
      </c>
      <c r="I7" s="979">
        <f t="shared" si="0"/>
        <v>26.333333333333332</v>
      </c>
      <c r="J7" s="729"/>
      <c r="K7" s="729"/>
      <c r="L7" s="728"/>
      <c r="M7" s="728"/>
      <c r="N7" s="728"/>
      <c r="O7" s="731"/>
      <c r="P7" s="732"/>
      <c r="Q7" s="732"/>
    </row>
    <row r="8" spans="1:21" ht="27.75" customHeight="1" x14ac:dyDescent="0.25">
      <c r="A8" s="726" t="s">
        <v>995</v>
      </c>
      <c r="B8" s="725" t="s">
        <v>658</v>
      </c>
      <c r="C8" s="750">
        <v>40</v>
      </c>
      <c r="D8" s="976">
        <f>C8/3</f>
        <v>13.333333333333334</v>
      </c>
      <c r="E8" s="975">
        <f t="shared" ref="E8:E71" si="1">C8*1000</f>
        <v>40000</v>
      </c>
      <c r="F8" s="954" t="s">
        <v>1349</v>
      </c>
      <c r="G8" s="947" t="s">
        <v>638</v>
      </c>
      <c r="H8" s="948">
        <v>5.95</v>
      </c>
      <c r="I8" s="979">
        <f t="shared" si="0"/>
        <v>1.9833333333333334</v>
      </c>
      <c r="J8" s="728"/>
      <c r="K8" s="728"/>
      <c r="L8" s="728"/>
      <c r="M8" s="728"/>
      <c r="N8" s="728"/>
      <c r="O8" s="718"/>
      <c r="P8" s="718"/>
      <c r="Q8" s="718"/>
      <c r="T8" s="714"/>
      <c r="U8" s="714"/>
    </row>
    <row r="9" spans="1:21" ht="27.75" customHeight="1" x14ac:dyDescent="0.25">
      <c r="A9" s="726" t="s">
        <v>996</v>
      </c>
      <c r="B9" s="725" t="s">
        <v>658</v>
      </c>
      <c r="C9" s="750">
        <v>550</v>
      </c>
      <c r="D9" s="715">
        <v>164.3</v>
      </c>
      <c r="E9" s="975">
        <f t="shared" si="1"/>
        <v>550000</v>
      </c>
      <c r="F9" s="953" t="s">
        <v>1352</v>
      </c>
      <c r="G9" s="834" t="s">
        <v>638</v>
      </c>
      <c r="H9" s="949">
        <v>37.450000000000003</v>
      </c>
      <c r="I9" s="979">
        <f t="shared" si="0"/>
        <v>12.483333333333334</v>
      </c>
      <c r="J9" s="727"/>
      <c r="K9" s="727"/>
      <c r="L9" s="727"/>
      <c r="M9" s="727"/>
      <c r="N9" s="727"/>
      <c r="O9" s="727"/>
      <c r="P9" s="727"/>
      <c r="Q9" s="733"/>
    </row>
    <row r="10" spans="1:21" ht="27.75" customHeight="1" x14ac:dyDescent="0.25">
      <c r="A10" s="726" t="s">
        <v>997</v>
      </c>
      <c r="B10" s="725" t="s">
        <v>658</v>
      </c>
      <c r="C10" s="750">
        <v>90</v>
      </c>
      <c r="D10" s="976">
        <f t="shared" ref="D10:D15" si="2">C10/3</f>
        <v>30</v>
      </c>
      <c r="E10" s="975">
        <f t="shared" si="1"/>
        <v>90000</v>
      </c>
      <c r="F10" s="955" t="s">
        <v>1360</v>
      </c>
      <c r="G10" s="834" t="s">
        <v>292</v>
      </c>
      <c r="H10" s="949">
        <v>5</v>
      </c>
      <c r="I10" s="979">
        <f t="shared" si="0"/>
        <v>1.6666666666666667</v>
      </c>
      <c r="J10" s="734"/>
      <c r="K10" s="734"/>
      <c r="L10" s="734"/>
      <c r="M10" s="734"/>
      <c r="N10" s="723"/>
      <c r="O10" s="723"/>
      <c r="P10" s="723"/>
      <c r="Q10" s="723"/>
    </row>
    <row r="11" spans="1:21" ht="27.75" customHeight="1" thickBot="1" x14ac:dyDescent="0.3">
      <c r="A11" s="726" t="s">
        <v>998</v>
      </c>
      <c r="B11" s="725" t="s">
        <v>658</v>
      </c>
      <c r="C11" s="750">
        <v>19</v>
      </c>
      <c r="D11" s="976">
        <f t="shared" si="2"/>
        <v>6.333333333333333</v>
      </c>
      <c r="E11" s="975">
        <f t="shared" si="1"/>
        <v>19000</v>
      </c>
      <c r="F11" s="956" t="s">
        <v>973</v>
      </c>
      <c r="G11" s="834" t="s">
        <v>292</v>
      </c>
      <c r="H11" s="949">
        <v>822</v>
      </c>
      <c r="I11" s="979">
        <f t="shared" si="0"/>
        <v>274</v>
      </c>
      <c r="J11" s="734"/>
      <c r="K11" s="734"/>
      <c r="L11" s="734"/>
      <c r="M11" s="734"/>
      <c r="N11" s="723"/>
      <c r="O11" s="723"/>
      <c r="P11" s="723"/>
      <c r="Q11" s="723"/>
    </row>
    <row r="12" spans="1:21" ht="27.75" customHeight="1" x14ac:dyDescent="0.25">
      <c r="A12" s="726" t="s">
        <v>999</v>
      </c>
      <c r="B12" s="725" t="s">
        <v>658</v>
      </c>
      <c r="C12" s="750">
        <v>87</v>
      </c>
      <c r="D12" s="976">
        <f t="shared" si="2"/>
        <v>29</v>
      </c>
      <c r="E12" s="975">
        <f t="shared" si="1"/>
        <v>87000</v>
      </c>
      <c r="F12" s="953" t="s">
        <v>1354</v>
      </c>
      <c r="G12" s="834" t="s">
        <v>292</v>
      </c>
      <c r="H12" s="949">
        <v>47</v>
      </c>
      <c r="I12" s="979">
        <f t="shared" si="0"/>
        <v>15.666666666666666</v>
      </c>
      <c r="J12" s="734"/>
      <c r="K12" s="734"/>
      <c r="L12" s="734"/>
      <c r="M12" s="734"/>
      <c r="N12" s="723"/>
      <c r="O12" s="723"/>
      <c r="P12" s="723"/>
      <c r="Q12" s="723"/>
    </row>
    <row r="13" spans="1:21" ht="27.75" customHeight="1" x14ac:dyDescent="0.25">
      <c r="A13" s="726" t="s">
        <v>1000</v>
      </c>
      <c r="B13" s="725" t="s">
        <v>658</v>
      </c>
      <c r="C13" s="750">
        <v>19</v>
      </c>
      <c r="D13" s="976">
        <f t="shared" si="2"/>
        <v>6.333333333333333</v>
      </c>
      <c r="E13" s="975">
        <f t="shared" si="1"/>
        <v>19000</v>
      </c>
      <c r="F13" s="952" t="s">
        <v>979</v>
      </c>
      <c r="G13" s="947" t="s">
        <v>638</v>
      </c>
      <c r="H13" s="948">
        <v>3.62</v>
      </c>
      <c r="I13" s="979">
        <f t="shared" si="0"/>
        <v>1.2066666666666668</v>
      </c>
      <c r="J13" s="734"/>
      <c r="K13" s="734"/>
      <c r="L13" s="734"/>
      <c r="M13" s="734"/>
      <c r="N13" s="723"/>
      <c r="O13" s="723"/>
      <c r="P13" s="723"/>
      <c r="Q13" s="723"/>
    </row>
    <row r="14" spans="1:21" ht="27.75" customHeight="1" x14ac:dyDescent="0.25">
      <c r="A14" s="726" t="s">
        <v>1001</v>
      </c>
      <c r="B14" s="725" t="s">
        <v>658</v>
      </c>
      <c r="C14" s="750">
        <v>700</v>
      </c>
      <c r="D14" s="976">
        <f t="shared" si="2"/>
        <v>233.33333333333334</v>
      </c>
      <c r="E14" s="975">
        <f t="shared" si="1"/>
        <v>700000</v>
      </c>
      <c r="F14" s="953" t="s">
        <v>1357</v>
      </c>
      <c r="G14" s="834" t="s">
        <v>292</v>
      </c>
      <c r="H14" s="949">
        <v>21</v>
      </c>
      <c r="I14" s="979">
        <f t="shared" si="0"/>
        <v>7</v>
      </c>
      <c r="J14" s="734"/>
      <c r="K14" s="734"/>
      <c r="L14" s="734"/>
      <c r="M14" s="734"/>
      <c r="N14" s="723"/>
      <c r="O14" s="723"/>
      <c r="P14" s="723"/>
      <c r="Q14" s="723"/>
    </row>
    <row r="15" spans="1:21" ht="27.75" customHeight="1" x14ac:dyDescent="0.25">
      <c r="A15" s="726" t="s">
        <v>675</v>
      </c>
      <c r="B15" s="725" t="s">
        <v>658</v>
      </c>
      <c r="C15" s="750">
        <v>82</v>
      </c>
      <c r="D15" s="976">
        <f t="shared" si="2"/>
        <v>27.333333333333332</v>
      </c>
      <c r="E15" s="975">
        <f t="shared" si="1"/>
        <v>82000</v>
      </c>
      <c r="F15" s="953" t="s">
        <v>1358</v>
      </c>
      <c r="G15" s="834" t="s">
        <v>292</v>
      </c>
      <c r="H15" s="949">
        <v>48</v>
      </c>
      <c r="I15" s="979">
        <f t="shared" si="0"/>
        <v>16</v>
      </c>
      <c r="J15" s="734"/>
      <c r="K15" s="734"/>
      <c r="L15" s="734"/>
      <c r="M15" s="734"/>
      <c r="N15" s="723"/>
      <c r="O15" s="723"/>
      <c r="P15" s="723"/>
      <c r="Q15" s="723"/>
    </row>
    <row r="16" spans="1:21" ht="27.75" customHeight="1" x14ac:dyDescent="0.25">
      <c r="A16" s="726" t="s">
        <v>1002</v>
      </c>
      <c r="B16" s="725" t="s">
        <v>658</v>
      </c>
      <c r="C16" s="750">
        <v>94</v>
      </c>
      <c r="D16" s="715">
        <v>29.65</v>
      </c>
      <c r="E16" s="975">
        <f t="shared" si="1"/>
        <v>94000</v>
      </c>
      <c r="F16" s="953" t="s">
        <v>1363</v>
      </c>
      <c r="G16" s="834" t="s">
        <v>292</v>
      </c>
      <c r="H16" s="949">
        <v>54</v>
      </c>
      <c r="I16" s="979">
        <f t="shared" si="0"/>
        <v>18</v>
      </c>
      <c r="J16" s="734"/>
      <c r="K16" s="734"/>
      <c r="L16" s="734"/>
      <c r="M16" s="734"/>
      <c r="N16" s="723"/>
      <c r="O16" s="723"/>
      <c r="P16" s="723"/>
      <c r="Q16" s="723"/>
    </row>
    <row r="17" spans="1:17" ht="27.75" customHeight="1" x14ac:dyDescent="0.25">
      <c r="A17" s="726" t="s">
        <v>1003</v>
      </c>
      <c r="B17" s="725" t="s">
        <v>658</v>
      </c>
      <c r="C17" s="750">
        <v>30</v>
      </c>
      <c r="D17" s="976">
        <f>C17/3</f>
        <v>10</v>
      </c>
      <c r="E17" s="975">
        <f t="shared" si="1"/>
        <v>30000</v>
      </c>
      <c r="F17" s="953" t="s">
        <v>439</v>
      </c>
      <c r="G17" s="834" t="s">
        <v>292</v>
      </c>
      <c r="H17" s="949">
        <v>43</v>
      </c>
      <c r="I17" s="979">
        <f t="shared" si="0"/>
        <v>14.333333333333334</v>
      </c>
      <c r="J17" s="734"/>
      <c r="K17" s="734"/>
      <c r="L17" s="734"/>
      <c r="M17" s="734"/>
      <c r="N17" s="723"/>
      <c r="O17" s="723"/>
      <c r="P17" s="723"/>
      <c r="Q17" s="723"/>
    </row>
    <row r="18" spans="1:17" ht="27.75" customHeight="1" x14ac:dyDescent="0.25">
      <c r="A18" s="726" t="s">
        <v>1004</v>
      </c>
      <c r="B18" s="725" t="s">
        <v>658</v>
      </c>
      <c r="C18" s="750">
        <v>187</v>
      </c>
      <c r="D18" s="715">
        <v>58.83</v>
      </c>
      <c r="E18" s="975">
        <f t="shared" si="1"/>
        <v>187000</v>
      </c>
      <c r="F18" s="953" t="s">
        <v>1355</v>
      </c>
      <c r="G18" s="834" t="s">
        <v>292</v>
      </c>
      <c r="H18" s="949">
        <v>10</v>
      </c>
      <c r="I18" s="979">
        <f t="shared" si="0"/>
        <v>3.3333333333333335</v>
      </c>
      <c r="J18" s="734"/>
      <c r="K18" s="734"/>
      <c r="L18" s="734"/>
      <c r="M18" s="734"/>
      <c r="N18" s="723"/>
      <c r="O18" s="723"/>
      <c r="P18" s="723"/>
      <c r="Q18" s="723"/>
    </row>
    <row r="19" spans="1:17" ht="27.75" customHeight="1" x14ac:dyDescent="0.25">
      <c r="A19" s="726" t="s">
        <v>1005</v>
      </c>
      <c r="B19" s="725" t="s">
        <v>658</v>
      </c>
      <c r="C19" s="750">
        <v>117</v>
      </c>
      <c r="D19" s="715">
        <v>35.29</v>
      </c>
      <c r="E19" s="975">
        <f t="shared" si="1"/>
        <v>117000</v>
      </c>
      <c r="F19" s="953" t="s">
        <v>1353</v>
      </c>
      <c r="G19" s="834" t="s">
        <v>292</v>
      </c>
      <c r="H19" s="949">
        <v>0.06</v>
      </c>
      <c r="I19" s="979">
        <f t="shared" si="0"/>
        <v>0.02</v>
      </c>
      <c r="J19" s="734"/>
      <c r="K19" s="734"/>
      <c r="L19" s="734"/>
      <c r="M19" s="734"/>
      <c r="N19" s="723"/>
      <c r="O19" s="723"/>
      <c r="P19" s="723"/>
      <c r="Q19" s="723"/>
    </row>
    <row r="20" spans="1:17" ht="27.75" customHeight="1" x14ac:dyDescent="0.25">
      <c r="A20" s="726" t="s">
        <v>1006</v>
      </c>
      <c r="B20" s="725" t="s">
        <v>658</v>
      </c>
      <c r="C20" s="750">
        <v>340</v>
      </c>
      <c r="D20" s="976">
        <f t="shared" ref="D20:D33" si="3">C20/3</f>
        <v>113.33333333333333</v>
      </c>
      <c r="E20" s="975">
        <f t="shared" si="1"/>
        <v>340000</v>
      </c>
      <c r="F20" s="953" t="s">
        <v>1364</v>
      </c>
      <c r="G20" s="834" t="s">
        <v>292</v>
      </c>
      <c r="H20" s="949">
        <v>6</v>
      </c>
      <c r="I20" s="979">
        <f t="shared" si="0"/>
        <v>2</v>
      </c>
      <c r="J20" s="734"/>
      <c r="K20" s="734"/>
      <c r="L20" s="734"/>
      <c r="M20" s="734"/>
      <c r="N20" s="723"/>
      <c r="O20" s="723"/>
      <c r="P20" s="723"/>
      <c r="Q20" s="723"/>
    </row>
    <row r="21" spans="1:17" ht="27.75" customHeight="1" x14ac:dyDescent="0.25">
      <c r="A21" s="726" t="s">
        <v>1007</v>
      </c>
      <c r="B21" s="725" t="s">
        <v>658</v>
      </c>
      <c r="C21" s="750">
        <v>123</v>
      </c>
      <c r="D21" s="976">
        <f t="shared" si="3"/>
        <v>41</v>
      </c>
      <c r="E21" s="975">
        <f t="shared" si="1"/>
        <v>123000</v>
      </c>
      <c r="F21" s="952" t="s">
        <v>978</v>
      </c>
      <c r="G21" s="947" t="s">
        <v>638</v>
      </c>
      <c r="H21" s="948">
        <v>12</v>
      </c>
      <c r="I21" s="979">
        <f t="shared" si="0"/>
        <v>4</v>
      </c>
      <c r="J21" s="734"/>
      <c r="K21" s="734"/>
      <c r="L21" s="734"/>
      <c r="M21" s="734"/>
      <c r="N21" s="723"/>
      <c r="O21" s="723"/>
      <c r="P21" s="723"/>
      <c r="Q21" s="723"/>
    </row>
    <row r="22" spans="1:17" ht="27.75" customHeight="1" x14ac:dyDescent="0.25">
      <c r="A22" s="726" t="s">
        <v>1008</v>
      </c>
      <c r="B22" s="725" t="s">
        <v>658</v>
      </c>
      <c r="C22" s="750">
        <v>665</v>
      </c>
      <c r="D22" s="976">
        <f t="shared" si="3"/>
        <v>221.66666666666666</v>
      </c>
      <c r="E22" s="975">
        <f t="shared" si="1"/>
        <v>665000</v>
      </c>
      <c r="F22" s="952" t="s">
        <v>1346</v>
      </c>
      <c r="G22" s="947" t="s">
        <v>292</v>
      </c>
      <c r="H22" s="948">
        <v>26.03</v>
      </c>
      <c r="I22" s="979">
        <f t="shared" si="0"/>
        <v>8.6766666666666676</v>
      </c>
      <c r="J22" s="734"/>
      <c r="K22" s="734"/>
      <c r="L22" s="734"/>
      <c r="M22" s="734"/>
      <c r="N22" s="723"/>
      <c r="O22" s="723"/>
      <c r="P22" s="723"/>
      <c r="Q22" s="723"/>
    </row>
    <row r="23" spans="1:17" ht="27.75" customHeight="1" x14ac:dyDescent="0.25">
      <c r="A23" s="726" t="s">
        <v>1009</v>
      </c>
      <c r="B23" s="725" t="s">
        <v>658</v>
      </c>
      <c r="C23" s="750">
        <v>63</v>
      </c>
      <c r="D23" s="976">
        <f t="shared" si="3"/>
        <v>21</v>
      </c>
      <c r="E23" s="975">
        <f t="shared" si="1"/>
        <v>63000</v>
      </c>
      <c r="F23" s="953" t="s">
        <v>1362</v>
      </c>
      <c r="G23" s="834" t="s">
        <v>292</v>
      </c>
      <c r="H23" s="949">
        <v>8</v>
      </c>
      <c r="I23" s="979">
        <f t="shared" si="0"/>
        <v>2.6666666666666665</v>
      </c>
      <c r="J23" s="734"/>
      <c r="K23" s="734"/>
      <c r="L23" s="734"/>
      <c r="M23" s="734"/>
      <c r="N23" s="723"/>
      <c r="O23" s="723"/>
      <c r="P23" s="723"/>
      <c r="Q23" s="723"/>
    </row>
    <row r="24" spans="1:17" ht="27.75" customHeight="1" x14ac:dyDescent="0.25">
      <c r="A24" s="726" t="s">
        <v>1010</v>
      </c>
      <c r="B24" s="725" t="s">
        <v>658</v>
      </c>
      <c r="C24" s="750">
        <v>65.25</v>
      </c>
      <c r="D24" s="976">
        <f t="shared" si="3"/>
        <v>21.75</v>
      </c>
      <c r="E24" s="975">
        <f t="shared" si="1"/>
        <v>65250</v>
      </c>
      <c r="F24" s="952" t="s">
        <v>1347</v>
      </c>
      <c r="G24" s="947" t="s">
        <v>292</v>
      </c>
      <c r="H24" s="948">
        <v>21.75</v>
      </c>
      <c r="I24" s="979">
        <f t="shared" si="0"/>
        <v>7.25</v>
      </c>
      <c r="J24" s="734"/>
      <c r="K24" s="734"/>
      <c r="L24" s="734"/>
      <c r="M24" s="734"/>
      <c r="N24" s="723"/>
      <c r="O24" s="723"/>
      <c r="P24" s="723"/>
      <c r="Q24" s="723"/>
    </row>
    <row r="25" spans="1:17" ht="27.75" customHeight="1" x14ac:dyDescent="0.25">
      <c r="A25" s="726" t="s">
        <v>1011</v>
      </c>
      <c r="B25" s="725" t="s">
        <v>658</v>
      </c>
      <c r="C25" s="750">
        <v>9</v>
      </c>
      <c r="D25" s="976">
        <f t="shared" si="3"/>
        <v>3</v>
      </c>
      <c r="E25" s="975">
        <f t="shared" si="1"/>
        <v>9000</v>
      </c>
      <c r="F25" s="952" t="s">
        <v>1350</v>
      </c>
      <c r="G25" s="947" t="s">
        <v>292</v>
      </c>
      <c r="H25" s="948">
        <v>2.85</v>
      </c>
      <c r="I25" s="979">
        <f t="shared" si="0"/>
        <v>0.95000000000000007</v>
      </c>
      <c r="J25" s="734"/>
      <c r="K25" s="734"/>
      <c r="L25" s="734"/>
      <c r="M25" s="734"/>
      <c r="N25" s="723"/>
      <c r="O25" s="723"/>
      <c r="P25" s="723"/>
      <c r="Q25" s="723"/>
    </row>
    <row r="26" spans="1:17" ht="27.75" customHeight="1" x14ac:dyDescent="0.25">
      <c r="A26" s="726" t="s">
        <v>1012</v>
      </c>
      <c r="B26" s="725" t="s">
        <v>658</v>
      </c>
      <c r="C26" s="750">
        <v>62</v>
      </c>
      <c r="D26" s="976">
        <f t="shared" si="3"/>
        <v>20.666666666666668</v>
      </c>
      <c r="E26" s="975">
        <f t="shared" si="1"/>
        <v>62000</v>
      </c>
      <c r="F26" s="953" t="s">
        <v>1351</v>
      </c>
      <c r="G26" s="834" t="s">
        <v>638</v>
      </c>
      <c r="H26" s="949">
        <v>8.9</v>
      </c>
      <c r="I26" s="979">
        <f t="shared" si="0"/>
        <v>2.9666666666666668</v>
      </c>
      <c r="J26" s="734"/>
      <c r="K26" s="734"/>
      <c r="L26" s="734"/>
      <c r="M26" s="734"/>
      <c r="N26" s="723"/>
      <c r="O26" s="723"/>
      <c r="P26" s="723"/>
      <c r="Q26" s="723"/>
    </row>
    <row r="27" spans="1:17" ht="27.75" customHeight="1" x14ac:dyDescent="0.25">
      <c r="A27" s="726" t="s">
        <v>1013</v>
      </c>
      <c r="B27" s="725" t="s">
        <v>658</v>
      </c>
      <c r="C27" s="750">
        <v>20</v>
      </c>
      <c r="D27" s="976">
        <f t="shared" si="3"/>
        <v>6.666666666666667</v>
      </c>
      <c r="E27" s="975">
        <f t="shared" si="1"/>
        <v>20000</v>
      </c>
      <c r="F27" s="952" t="s">
        <v>732</v>
      </c>
      <c r="G27" s="947" t="s">
        <v>638</v>
      </c>
      <c r="H27" s="948">
        <v>43</v>
      </c>
      <c r="I27" s="979">
        <f t="shared" si="0"/>
        <v>14.333333333333334</v>
      </c>
      <c r="J27" s="734"/>
      <c r="K27" s="734"/>
      <c r="L27" s="734"/>
      <c r="M27" s="734"/>
      <c r="N27" s="723"/>
      <c r="O27" s="723"/>
      <c r="P27" s="723"/>
      <c r="Q27" s="723"/>
    </row>
    <row r="28" spans="1:17" ht="27.75" customHeight="1" x14ac:dyDescent="0.25">
      <c r="A28" s="726" t="s">
        <v>693</v>
      </c>
      <c r="B28" s="725" t="s">
        <v>658</v>
      </c>
      <c r="C28" s="750">
        <v>95</v>
      </c>
      <c r="D28" s="976">
        <f t="shared" si="3"/>
        <v>31.666666666666668</v>
      </c>
      <c r="E28" s="975">
        <f t="shared" si="1"/>
        <v>95000</v>
      </c>
      <c r="F28" s="952" t="s">
        <v>1345</v>
      </c>
      <c r="G28" s="947" t="s">
        <v>638</v>
      </c>
      <c r="H28" s="948">
        <v>34</v>
      </c>
      <c r="I28" s="979">
        <f t="shared" si="0"/>
        <v>11.333333333333334</v>
      </c>
      <c r="J28" s="734"/>
      <c r="K28" s="734"/>
      <c r="L28" s="734"/>
      <c r="M28" s="734"/>
      <c r="N28" s="723"/>
      <c r="O28" s="723"/>
      <c r="P28" s="723"/>
      <c r="Q28" s="723"/>
    </row>
    <row r="29" spans="1:17" ht="27.75" customHeight="1" x14ac:dyDescent="0.25">
      <c r="A29" s="726" t="s">
        <v>1014</v>
      </c>
      <c r="B29" s="725" t="s">
        <v>658</v>
      </c>
      <c r="C29" s="750">
        <v>118</v>
      </c>
      <c r="D29" s="976">
        <f t="shared" si="3"/>
        <v>39.333333333333336</v>
      </c>
      <c r="E29" s="975">
        <f t="shared" si="1"/>
        <v>118000</v>
      </c>
      <c r="F29" s="953" t="s">
        <v>980</v>
      </c>
      <c r="G29" s="834"/>
      <c r="H29" s="949">
        <v>20</v>
      </c>
      <c r="I29" s="945"/>
      <c r="J29" s="734"/>
      <c r="K29" s="734"/>
      <c r="L29" s="734"/>
      <c r="M29" s="734"/>
      <c r="N29" s="723"/>
      <c r="O29" s="723"/>
      <c r="P29" s="723"/>
      <c r="Q29" s="723"/>
    </row>
    <row r="30" spans="1:17" ht="27.75" customHeight="1" thickBot="1" x14ac:dyDescent="0.3">
      <c r="A30" s="726" t="s">
        <v>1015</v>
      </c>
      <c r="B30" s="725" t="s">
        <v>658</v>
      </c>
      <c r="C30" s="750">
        <v>32</v>
      </c>
      <c r="D30" s="976">
        <f t="shared" si="3"/>
        <v>10.666666666666666</v>
      </c>
      <c r="E30" s="975">
        <f t="shared" si="1"/>
        <v>32000</v>
      </c>
      <c r="F30" s="953" t="s">
        <v>1461</v>
      </c>
      <c r="G30" s="834"/>
      <c r="H30" s="949">
        <v>8.9499999999999993</v>
      </c>
      <c r="I30" s="960"/>
      <c r="J30" s="734"/>
      <c r="K30" s="734"/>
      <c r="L30" s="734"/>
      <c r="M30" s="734"/>
      <c r="N30" s="723"/>
      <c r="O30" s="723"/>
      <c r="P30" s="723"/>
      <c r="Q30" s="723"/>
    </row>
    <row r="31" spans="1:17" ht="27.75" customHeight="1" x14ac:dyDescent="0.25">
      <c r="A31" s="726" t="s">
        <v>1016</v>
      </c>
      <c r="B31" s="725" t="s">
        <v>658</v>
      </c>
      <c r="C31" s="750">
        <v>17</v>
      </c>
      <c r="D31" s="976">
        <f t="shared" si="3"/>
        <v>5.666666666666667</v>
      </c>
      <c r="E31" s="975">
        <f t="shared" si="1"/>
        <v>17000</v>
      </c>
      <c r="F31" s="953" t="s">
        <v>1341</v>
      </c>
      <c r="G31" s="834" t="s">
        <v>898</v>
      </c>
      <c r="H31" s="959">
        <v>30</v>
      </c>
      <c r="I31" s="961"/>
      <c r="J31" s="734"/>
      <c r="K31" s="734"/>
      <c r="L31" s="734"/>
      <c r="M31" s="734"/>
      <c r="N31" s="723"/>
      <c r="O31" s="723"/>
      <c r="P31" s="723"/>
      <c r="Q31" s="723"/>
    </row>
    <row r="32" spans="1:17" ht="27.75" customHeight="1" x14ac:dyDescent="0.25">
      <c r="A32" s="726" t="s">
        <v>1017</v>
      </c>
      <c r="B32" s="725" t="s">
        <v>658</v>
      </c>
      <c r="C32" s="750">
        <v>20</v>
      </c>
      <c r="D32" s="976">
        <f t="shared" si="3"/>
        <v>6.666666666666667</v>
      </c>
      <c r="E32" s="975">
        <f t="shared" si="1"/>
        <v>20000</v>
      </c>
      <c r="F32" s="953" t="s">
        <v>1462</v>
      </c>
      <c r="G32" s="834" t="s">
        <v>898</v>
      </c>
      <c r="H32" s="959">
        <v>40</v>
      </c>
      <c r="I32" s="962"/>
      <c r="J32" s="734"/>
      <c r="K32" s="734"/>
      <c r="L32" s="734"/>
      <c r="M32" s="734"/>
      <c r="N32" s="723"/>
      <c r="O32" s="723"/>
      <c r="P32" s="723"/>
      <c r="Q32" s="723"/>
    </row>
    <row r="33" spans="1:17" ht="27.75" customHeight="1" x14ac:dyDescent="0.25">
      <c r="A33" s="726" t="s">
        <v>1018</v>
      </c>
      <c r="B33" s="725" t="s">
        <v>658</v>
      </c>
      <c r="C33" s="750">
        <v>75</v>
      </c>
      <c r="D33" s="976">
        <f t="shared" si="3"/>
        <v>25</v>
      </c>
      <c r="E33" s="975">
        <f t="shared" si="1"/>
        <v>75000</v>
      </c>
      <c r="F33" s="953" t="s">
        <v>1463</v>
      </c>
      <c r="G33" s="834" t="s">
        <v>310</v>
      </c>
      <c r="H33" s="959">
        <v>90</v>
      </c>
      <c r="I33" s="962"/>
      <c r="J33" s="734"/>
      <c r="K33" s="734"/>
      <c r="L33" s="734"/>
      <c r="M33" s="734"/>
      <c r="N33" s="723"/>
      <c r="O33" s="723"/>
      <c r="P33" s="723"/>
      <c r="Q33" s="723"/>
    </row>
    <row r="34" spans="1:17" ht="27.75" customHeight="1" x14ac:dyDescent="0.25">
      <c r="A34" s="726" t="s">
        <v>1019</v>
      </c>
      <c r="B34" s="725" t="s">
        <v>658</v>
      </c>
      <c r="C34" s="750">
        <v>300</v>
      </c>
      <c r="D34" s="715">
        <v>93.91</v>
      </c>
      <c r="E34" s="975">
        <f t="shared" si="1"/>
        <v>300000</v>
      </c>
      <c r="F34" s="953" t="s">
        <v>321</v>
      </c>
      <c r="G34" s="834" t="s">
        <v>310</v>
      </c>
      <c r="H34" s="959">
        <v>70</v>
      </c>
      <c r="I34" s="962"/>
      <c r="J34" s="734"/>
      <c r="K34" s="734"/>
      <c r="L34" s="734"/>
      <c r="M34" s="734"/>
      <c r="N34" s="723"/>
      <c r="O34" s="723"/>
      <c r="P34" s="723"/>
      <c r="Q34" s="723"/>
    </row>
    <row r="35" spans="1:17" ht="27.75" customHeight="1" x14ac:dyDescent="0.25">
      <c r="A35" s="726" t="s">
        <v>1020</v>
      </c>
      <c r="B35" s="725" t="s">
        <v>658</v>
      </c>
      <c r="C35" s="750">
        <v>100</v>
      </c>
      <c r="D35" s="976">
        <f>C35/3</f>
        <v>33.333333333333336</v>
      </c>
      <c r="E35" s="975">
        <f t="shared" si="1"/>
        <v>100000</v>
      </c>
      <c r="F35" s="953" t="s">
        <v>1464</v>
      </c>
      <c r="G35" s="834" t="s">
        <v>949</v>
      </c>
      <c r="H35" s="959">
        <v>1.2</v>
      </c>
      <c r="I35" s="962"/>
      <c r="J35" s="734"/>
      <c r="K35" s="734"/>
      <c r="L35" s="734"/>
      <c r="M35" s="734"/>
      <c r="N35" s="723"/>
      <c r="O35" s="723"/>
      <c r="P35" s="723"/>
      <c r="Q35" s="723"/>
    </row>
    <row r="36" spans="1:17" ht="27.75" customHeight="1" x14ac:dyDescent="0.25">
      <c r="A36" s="726" t="s">
        <v>1021</v>
      </c>
      <c r="B36" s="725" t="s">
        <v>658</v>
      </c>
      <c r="C36" s="750">
        <v>200</v>
      </c>
      <c r="D36" s="976">
        <f>C36/3</f>
        <v>66.666666666666671</v>
      </c>
      <c r="E36" s="975">
        <f t="shared" si="1"/>
        <v>200000</v>
      </c>
      <c r="F36" s="953" t="s">
        <v>901</v>
      </c>
      <c r="G36" s="834" t="s">
        <v>310</v>
      </c>
      <c r="H36" s="959">
        <v>400</v>
      </c>
      <c r="I36" s="962"/>
      <c r="J36" s="734"/>
      <c r="K36" s="734"/>
      <c r="L36" s="734"/>
      <c r="M36" s="734"/>
      <c r="N36" s="723"/>
      <c r="O36" s="723"/>
      <c r="P36" s="723"/>
      <c r="Q36" s="723"/>
    </row>
    <row r="37" spans="1:17" ht="27.75" customHeight="1" x14ac:dyDescent="0.25">
      <c r="A37" s="726" t="s">
        <v>1022</v>
      </c>
      <c r="B37" s="725" t="s">
        <v>658</v>
      </c>
      <c r="C37" s="750">
        <v>30</v>
      </c>
      <c r="D37" s="715">
        <v>8.58</v>
      </c>
      <c r="E37" s="975">
        <f t="shared" si="1"/>
        <v>30000</v>
      </c>
      <c r="F37" s="953" t="s">
        <v>902</v>
      </c>
      <c r="G37" s="834" t="s">
        <v>310</v>
      </c>
      <c r="H37" s="959">
        <v>2000</v>
      </c>
      <c r="I37" s="962"/>
      <c r="J37" s="734"/>
      <c r="K37" s="734"/>
      <c r="L37" s="734"/>
      <c r="M37" s="734"/>
      <c r="N37" s="723"/>
      <c r="O37" s="723"/>
      <c r="P37" s="723"/>
      <c r="Q37" s="723"/>
    </row>
    <row r="38" spans="1:17" ht="27.75" customHeight="1" thickBot="1" x14ac:dyDescent="0.3">
      <c r="A38" s="726" t="s">
        <v>1023</v>
      </c>
      <c r="B38" s="725" t="s">
        <v>658</v>
      </c>
      <c r="C38" s="750">
        <v>350</v>
      </c>
      <c r="D38" s="976">
        <f>C38/3</f>
        <v>116.66666666666667</v>
      </c>
      <c r="E38" s="975">
        <f t="shared" si="1"/>
        <v>350000</v>
      </c>
      <c r="F38" s="953"/>
      <c r="G38" s="834"/>
      <c r="H38" s="959"/>
      <c r="I38" s="963"/>
      <c r="J38" s="734"/>
      <c r="K38" s="734"/>
      <c r="L38" s="734"/>
      <c r="M38" s="734"/>
      <c r="N38" s="723"/>
      <c r="O38" s="723"/>
      <c r="P38" s="723"/>
      <c r="Q38" s="723"/>
    </row>
    <row r="39" spans="1:17" ht="27.75" customHeight="1" x14ac:dyDescent="0.25">
      <c r="A39" s="726" t="s">
        <v>1024</v>
      </c>
      <c r="B39" s="725" t="s">
        <v>658</v>
      </c>
      <c r="C39" s="750">
        <v>300</v>
      </c>
      <c r="D39" s="976">
        <f>C39/3</f>
        <v>100</v>
      </c>
      <c r="E39" s="975">
        <f t="shared" si="1"/>
        <v>300000</v>
      </c>
      <c r="F39" s="957"/>
      <c r="G39" s="944"/>
      <c r="H39" s="950"/>
      <c r="I39" s="946"/>
      <c r="J39" s="734"/>
      <c r="K39" s="734"/>
      <c r="L39" s="734"/>
      <c r="M39" s="734"/>
      <c r="N39" s="723"/>
      <c r="O39" s="723"/>
      <c r="P39" s="723"/>
      <c r="Q39" s="723"/>
    </row>
    <row r="40" spans="1:17" ht="27.75" customHeight="1" x14ac:dyDescent="0.25">
      <c r="A40" s="726" t="s">
        <v>1025</v>
      </c>
      <c r="B40" s="725" t="s">
        <v>658</v>
      </c>
      <c r="C40" s="750">
        <v>180</v>
      </c>
      <c r="D40" s="976">
        <f>C40/3</f>
        <v>60</v>
      </c>
      <c r="E40" s="975">
        <f t="shared" si="1"/>
        <v>180000</v>
      </c>
      <c r="F40" s="957"/>
      <c r="G40" s="944"/>
      <c r="H40" s="950"/>
      <c r="I40" s="946"/>
      <c r="J40" s="734"/>
      <c r="K40" s="734"/>
      <c r="L40" s="734"/>
      <c r="M40" s="734"/>
      <c r="N40" s="723"/>
      <c r="O40" s="723"/>
      <c r="P40" s="723"/>
      <c r="Q40" s="723"/>
    </row>
    <row r="41" spans="1:17" ht="27.75" customHeight="1" x14ac:dyDescent="0.25">
      <c r="A41" s="726" t="s">
        <v>1026</v>
      </c>
      <c r="B41" s="725" t="s">
        <v>658</v>
      </c>
      <c r="C41" s="750">
        <v>190</v>
      </c>
      <c r="D41" s="715">
        <v>56.18</v>
      </c>
      <c r="E41" s="975">
        <f t="shared" si="1"/>
        <v>190000</v>
      </c>
      <c r="F41" s="958"/>
      <c r="G41" s="727"/>
      <c r="H41" s="951"/>
      <c r="I41" s="728"/>
      <c r="J41" s="734"/>
      <c r="K41" s="734"/>
      <c r="L41" s="734"/>
      <c r="M41" s="734"/>
      <c r="N41" s="723"/>
      <c r="O41" s="723"/>
      <c r="P41" s="723"/>
      <c r="Q41" s="723"/>
    </row>
    <row r="42" spans="1:17" ht="27.75" customHeight="1" x14ac:dyDescent="0.25">
      <c r="A42" s="726" t="s">
        <v>709</v>
      </c>
      <c r="B42" s="725" t="s">
        <v>658</v>
      </c>
      <c r="C42" s="750">
        <v>100</v>
      </c>
      <c r="D42" s="976">
        <f>C42/3</f>
        <v>33.333333333333336</v>
      </c>
      <c r="E42" s="975">
        <f t="shared" si="1"/>
        <v>100000</v>
      </c>
      <c r="F42" s="958"/>
      <c r="G42" s="727"/>
      <c r="H42" s="951"/>
      <c r="I42" s="728"/>
      <c r="J42" s="734"/>
      <c r="K42" s="734"/>
      <c r="L42" s="734"/>
      <c r="M42" s="734"/>
      <c r="N42" s="723"/>
      <c r="O42" s="723"/>
      <c r="P42" s="723"/>
      <c r="Q42" s="723"/>
    </row>
    <row r="43" spans="1:17" ht="27.75" customHeight="1" x14ac:dyDescent="0.25">
      <c r="A43" s="726" t="s">
        <v>1027</v>
      </c>
      <c r="B43" s="725" t="s">
        <v>658</v>
      </c>
      <c r="C43" s="750">
        <v>25</v>
      </c>
      <c r="D43" s="715">
        <v>7.56</v>
      </c>
      <c r="E43" s="975">
        <f t="shared" si="1"/>
        <v>25000</v>
      </c>
      <c r="F43" s="958"/>
      <c r="G43" s="727"/>
      <c r="H43" s="951"/>
      <c r="I43" s="728"/>
      <c r="J43" s="734"/>
      <c r="K43" s="734"/>
      <c r="L43" s="734"/>
      <c r="M43" s="734"/>
      <c r="N43" s="723"/>
      <c r="O43" s="723"/>
      <c r="P43" s="723"/>
      <c r="Q43" s="723"/>
    </row>
    <row r="44" spans="1:17" ht="27.75" customHeight="1" x14ac:dyDescent="0.25">
      <c r="A44" s="726" t="s">
        <v>1028</v>
      </c>
      <c r="B44" s="725" t="s">
        <v>658</v>
      </c>
      <c r="C44" s="750">
        <v>78</v>
      </c>
      <c r="D44" s="715">
        <v>21.97</v>
      </c>
      <c r="E44" s="975">
        <f t="shared" si="1"/>
        <v>78000</v>
      </c>
      <c r="F44" s="958"/>
      <c r="G44" s="727"/>
      <c r="H44" s="951"/>
      <c r="I44" s="728"/>
      <c r="J44" s="734"/>
      <c r="K44" s="734"/>
      <c r="L44" s="734"/>
      <c r="M44" s="734"/>
      <c r="N44" s="723"/>
      <c r="O44" s="723"/>
      <c r="P44" s="723"/>
      <c r="Q44" s="723"/>
    </row>
    <row r="45" spans="1:17" ht="27.75" customHeight="1" x14ac:dyDescent="0.25">
      <c r="A45" s="726" t="s">
        <v>1029</v>
      </c>
      <c r="B45" s="725" t="s">
        <v>658</v>
      </c>
      <c r="C45" s="750">
        <v>10</v>
      </c>
      <c r="D45" s="976">
        <f>C45/3</f>
        <v>3.3333333333333335</v>
      </c>
      <c r="E45" s="975">
        <f t="shared" si="1"/>
        <v>10000</v>
      </c>
      <c r="F45" s="958"/>
      <c r="G45" s="727"/>
      <c r="H45" s="951"/>
      <c r="I45" s="728"/>
      <c r="J45" s="734"/>
      <c r="K45" s="734"/>
      <c r="L45" s="734"/>
      <c r="M45" s="734"/>
      <c r="N45" s="723"/>
      <c r="O45" s="723"/>
      <c r="P45" s="723"/>
      <c r="Q45" s="723"/>
    </row>
    <row r="46" spans="1:17" ht="27.75" customHeight="1" x14ac:dyDescent="0.25">
      <c r="A46" s="726" t="s">
        <v>1030</v>
      </c>
      <c r="B46" s="725" t="s">
        <v>658</v>
      </c>
      <c r="C46" s="750">
        <v>25</v>
      </c>
      <c r="D46" s="715">
        <v>9.14</v>
      </c>
      <c r="E46" s="975">
        <f t="shared" si="1"/>
        <v>25000</v>
      </c>
      <c r="F46" s="943"/>
      <c r="G46" s="727"/>
      <c r="H46" s="736"/>
      <c r="I46" s="734"/>
      <c r="J46" s="734"/>
      <c r="K46" s="734"/>
      <c r="L46" s="734"/>
      <c r="M46" s="734"/>
      <c r="N46" s="723"/>
      <c r="O46" s="723"/>
      <c r="P46" s="723"/>
      <c r="Q46" s="723"/>
    </row>
    <row r="47" spans="1:17" ht="27.75" customHeight="1" x14ac:dyDescent="0.25">
      <c r="A47" s="720" t="s">
        <v>1031</v>
      </c>
      <c r="B47" s="738"/>
      <c r="C47" s="750"/>
      <c r="D47" s="976">
        <f t="shared" ref="D47:D53" si="4">C47/3</f>
        <v>0</v>
      </c>
      <c r="E47" s="975">
        <f t="shared" si="1"/>
        <v>0</v>
      </c>
      <c r="F47" s="735"/>
      <c r="G47" s="727"/>
      <c r="H47" s="736"/>
      <c r="I47" s="734"/>
      <c r="J47" s="734"/>
      <c r="K47" s="734"/>
      <c r="L47" s="734"/>
      <c r="M47" s="734"/>
      <c r="N47" s="723"/>
      <c r="O47" s="723"/>
      <c r="P47" s="723"/>
      <c r="Q47" s="723"/>
    </row>
    <row r="48" spans="1:17" ht="27.75" customHeight="1" x14ac:dyDescent="0.25">
      <c r="A48" s="726" t="s">
        <v>1032</v>
      </c>
      <c r="B48" s="725" t="s">
        <v>658</v>
      </c>
      <c r="C48" s="750">
        <v>65</v>
      </c>
      <c r="D48" s="976">
        <f t="shared" si="4"/>
        <v>21.666666666666668</v>
      </c>
      <c r="E48" s="975">
        <f t="shared" si="1"/>
        <v>65000</v>
      </c>
      <c r="F48" s="735"/>
      <c r="G48" s="727"/>
      <c r="H48" s="736"/>
      <c r="I48" s="734"/>
      <c r="J48" s="734"/>
      <c r="K48" s="734"/>
      <c r="L48" s="734"/>
      <c r="M48" s="734"/>
      <c r="N48" s="723"/>
      <c r="O48" s="723"/>
      <c r="P48" s="723"/>
      <c r="Q48" s="723"/>
    </row>
    <row r="49" spans="1:17" ht="27.75" customHeight="1" x14ac:dyDescent="0.25">
      <c r="A49" s="726" t="s">
        <v>1033</v>
      </c>
      <c r="B49" s="725" t="s">
        <v>658</v>
      </c>
      <c r="C49" s="750">
        <v>50</v>
      </c>
      <c r="D49" s="976">
        <f t="shared" si="4"/>
        <v>16.666666666666668</v>
      </c>
      <c r="E49" s="975">
        <f t="shared" si="1"/>
        <v>50000</v>
      </c>
      <c r="F49" s="735"/>
      <c r="G49" s="727"/>
      <c r="H49" s="736"/>
      <c r="I49" s="734"/>
      <c r="J49" s="734"/>
      <c r="K49" s="734"/>
      <c r="L49" s="734"/>
      <c r="M49" s="734"/>
      <c r="N49" s="723"/>
      <c r="O49" s="723"/>
      <c r="P49" s="723"/>
      <c r="Q49" s="723"/>
    </row>
    <row r="50" spans="1:17" ht="27.75" customHeight="1" x14ac:dyDescent="0.25">
      <c r="A50" s="726" t="s">
        <v>1034</v>
      </c>
      <c r="B50" s="725" t="s">
        <v>658</v>
      </c>
      <c r="C50" s="750">
        <v>170</v>
      </c>
      <c r="D50" s="976">
        <f t="shared" si="4"/>
        <v>56.666666666666664</v>
      </c>
      <c r="E50" s="975">
        <f t="shared" si="1"/>
        <v>170000</v>
      </c>
      <c r="F50" s="735"/>
      <c r="G50" s="727"/>
      <c r="H50" s="736"/>
      <c r="I50" s="734"/>
      <c r="J50" s="734"/>
      <c r="K50" s="734"/>
      <c r="L50" s="734"/>
      <c r="M50" s="734"/>
      <c r="N50" s="723"/>
      <c r="O50" s="723"/>
      <c r="P50" s="723"/>
      <c r="Q50" s="723"/>
    </row>
    <row r="51" spans="1:17" ht="27.75" customHeight="1" x14ac:dyDescent="0.25">
      <c r="A51" s="726" t="s">
        <v>1035</v>
      </c>
      <c r="B51" s="725" t="s">
        <v>658</v>
      </c>
      <c r="C51" s="750">
        <v>200</v>
      </c>
      <c r="D51" s="976">
        <f t="shared" si="4"/>
        <v>66.666666666666671</v>
      </c>
      <c r="E51" s="975">
        <f t="shared" si="1"/>
        <v>200000</v>
      </c>
      <c r="F51" s="735"/>
      <c r="G51" s="727"/>
      <c r="H51" s="736"/>
      <c r="I51" s="734"/>
      <c r="J51" s="734"/>
      <c r="K51" s="734"/>
      <c r="L51" s="734"/>
      <c r="M51" s="734"/>
      <c r="N51" s="723"/>
      <c r="O51" s="723"/>
      <c r="P51" s="723"/>
      <c r="Q51" s="723"/>
    </row>
    <row r="52" spans="1:17" ht="27.75" customHeight="1" x14ac:dyDescent="0.25">
      <c r="A52" s="726" t="s">
        <v>1036</v>
      </c>
      <c r="B52" s="725" t="s">
        <v>658</v>
      </c>
      <c r="C52" s="750">
        <v>27</v>
      </c>
      <c r="D52" s="976">
        <f t="shared" si="4"/>
        <v>9</v>
      </c>
      <c r="E52" s="975">
        <f t="shared" si="1"/>
        <v>27000</v>
      </c>
      <c r="F52" s="735"/>
      <c r="G52" s="727"/>
      <c r="H52" s="736"/>
      <c r="I52" s="734"/>
      <c r="J52" s="734"/>
      <c r="K52" s="734"/>
      <c r="L52" s="734"/>
      <c r="M52" s="734"/>
      <c r="N52" s="723"/>
      <c r="O52" s="723"/>
      <c r="P52" s="723"/>
      <c r="Q52" s="723"/>
    </row>
    <row r="53" spans="1:17" ht="27.75" customHeight="1" x14ac:dyDescent="0.25">
      <c r="A53" s="726" t="s">
        <v>1037</v>
      </c>
      <c r="B53" s="725" t="s">
        <v>658</v>
      </c>
      <c r="C53" s="750">
        <v>50</v>
      </c>
      <c r="D53" s="976">
        <f t="shared" si="4"/>
        <v>16.666666666666668</v>
      </c>
      <c r="E53" s="975">
        <f t="shared" si="1"/>
        <v>50000</v>
      </c>
      <c r="F53" s="735"/>
      <c r="G53" s="727"/>
      <c r="H53" s="736"/>
      <c r="I53" s="734"/>
      <c r="J53" s="734"/>
      <c r="K53" s="734"/>
      <c r="L53" s="734"/>
      <c r="M53" s="734"/>
      <c r="N53" s="723"/>
      <c r="O53" s="723"/>
      <c r="P53" s="723"/>
      <c r="Q53" s="723"/>
    </row>
    <row r="54" spans="1:17" ht="27.75" customHeight="1" x14ac:dyDescent="0.25">
      <c r="A54" s="726" t="s">
        <v>1038</v>
      </c>
      <c r="B54" s="725" t="s">
        <v>658</v>
      </c>
      <c r="C54" s="750">
        <v>20</v>
      </c>
      <c r="D54" s="715">
        <v>7.09</v>
      </c>
      <c r="E54" s="975">
        <f t="shared" si="1"/>
        <v>20000</v>
      </c>
      <c r="F54" s="735"/>
      <c r="G54" s="727"/>
      <c r="H54" s="736"/>
      <c r="I54" s="734"/>
      <c r="J54" s="734"/>
      <c r="K54" s="734"/>
      <c r="L54" s="734"/>
      <c r="M54" s="734"/>
      <c r="N54" s="723"/>
      <c r="O54" s="723"/>
      <c r="P54" s="723"/>
      <c r="Q54" s="723"/>
    </row>
    <row r="55" spans="1:17" ht="27.75" customHeight="1" x14ac:dyDescent="0.25">
      <c r="A55" s="726" t="s">
        <v>1039</v>
      </c>
      <c r="B55" s="725" t="s">
        <v>658</v>
      </c>
      <c r="C55" s="750">
        <v>30</v>
      </c>
      <c r="D55" s="976">
        <f>C55/3</f>
        <v>10</v>
      </c>
      <c r="E55" s="975">
        <f t="shared" si="1"/>
        <v>30000</v>
      </c>
      <c r="F55" s="735"/>
      <c r="G55" s="727"/>
      <c r="H55" s="736"/>
      <c r="I55" s="734"/>
      <c r="J55" s="734"/>
      <c r="K55" s="734"/>
      <c r="L55" s="734"/>
      <c r="M55" s="734"/>
      <c r="N55" s="723"/>
      <c r="O55" s="723"/>
      <c r="P55" s="723"/>
      <c r="Q55" s="723"/>
    </row>
    <row r="56" spans="1:17" ht="27.75" customHeight="1" x14ac:dyDescent="0.25">
      <c r="A56" s="726" t="s">
        <v>1040</v>
      </c>
      <c r="B56" s="725" t="s">
        <v>658</v>
      </c>
      <c r="C56" s="750">
        <v>70</v>
      </c>
      <c r="D56" s="715">
        <v>23.46</v>
      </c>
      <c r="E56" s="975">
        <f t="shared" si="1"/>
        <v>70000</v>
      </c>
      <c r="F56" s="735"/>
      <c r="G56" s="727"/>
      <c r="H56" s="736"/>
      <c r="I56" s="734"/>
      <c r="J56" s="734"/>
      <c r="K56" s="734"/>
      <c r="L56" s="734"/>
      <c r="M56" s="734"/>
      <c r="N56" s="723"/>
      <c r="O56" s="723"/>
      <c r="P56" s="723"/>
      <c r="Q56" s="723"/>
    </row>
    <row r="57" spans="1:17" ht="27.75" customHeight="1" x14ac:dyDescent="0.25">
      <c r="A57" s="726" t="s">
        <v>1041</v>
      </c>
      <c r="B57" s="725" t="s">
        <v>658</v>
      </c>
      <c r="C57" s="750">
        <v>28</v>
      </c>
      <c r="D57" s="976">
        <f>C57/3</f>
        <v>9.3333333333333339</v>
      </c>
      <c r="E57" s="975">
        <f t="shared" si="1"/>
        <v>28000</v>
      </c>
      <c r="F57" s="735"/>
      <c r="G57" s="727"/>
      <c r="H57" s="736"/>
      <c r="I57" s="734"/>
      <c r="J57" s="734"/>
      <c r="K57" s="734"/>
      <c r="L57" s="734"/>
      <c r="M57" s="734"/>
      <c r="N57" s="723"/>
      <c r="O57" s="723"/>
      <c r="P57" s="723"/>
      <c r="Q57" s="723"/>
    </row>
    <row r="58" spans="1:17" ht="27.75" customHeight="1" x14ac:dyDescent="0.25">
      <c r="A58" s="726" t="s">
        <v>1042</v>
      </c>
      <c r="B58" s="725" t="s">
        <v>658</v>
      </c>
      <c r="C58" s="750">
        <v>20</v>
      </c>
      <c r="D58" s="715">
        <v>6.32</v>
      </c>
      <c r="E58" s="975">
        <f t="shared" si="1"/>
        <v>20000</v>
      </c>
      <c r="F58" s="735"/>
      <c r="G58" s="727"/>
      <c r="H58" s="736"/>
      <c r="I58" s="734"/>
      <c r="J58" s="734"/>
      <c r="K58" s="734"/>
      <c r="L58" s="734"/>
      <c r="M58" s="734"/>
      <c r="N58" s="723"/>
      <c r="O58" s="723"/>
      <c r="P58" s="723"/>
      <c r="Q58" s="723"/>
    </row>
    <row r="59" spans="1:17" ht="27.75" customHeight="1" x14ac:dyDescent="0.25">
      <c r="A59" s="726" t="s">
        <v>1043</v>
      </c>
      <c r="B59" s="725" t="s">
        <v>658</v>
      </c>
      <c r="C59" s="750">
        <v>42</v>
      </c>
      <c r="D59" s="715">
        <v>12.63</v>
      </c>
      <c r="E59" s="975">
        <f t="shared" si="1"/>
        <v>42000</v>
      </c>
      <c r="F59" s="735"/>
      <c r="G59" s="739"/>
      <c r="H59" s="736"/>
      <c r="I59" s="736"/>
      <c r="J59" s="736"/>
      <c r="K59" s="736"/>
      <c r="L59" s="736"/>
      <c r="M59" s="736"/>
      <c r="N59" s="723"/>
      <c r="O59" s="723"/>
      <c r="P59" s="724"/>
      <c r="Q59" s="723"/>
    </row>
    <row r="60" spans="1:17" ht="27.75" customHeight="1" x14ac:dyDescent="0.25">
      <c r="A60" s="726" t="s">
        <v>1044</v>
      </c>
      <c r="B60" s="725" t="s">
        <v>658</v>
      </c>
      <c r="C60" s="750">
        <v>55</v>
      </c>
      <c r="D60" s="976">
        <f t="shared" ref="D60:D66" si="5">C60/3</f>
        <v>18.333333333333332</v>
      </c>
      <c r="E60" s="975">
        <f t="shared" si="1"/>
        <v>55000</v>
      </c>
      <c r="F60" s="735"/>
      <c r="G60" s="727"/>
      <c r="H60" s="736"/>
      <c r="I60" s="734"/>
      <c r="J60" s="734"/>
      <c r="K60" s="734"/>
      <c r="L60" s="734"/>
      <c r="M60" s="734"/>
      <c r="N60" s="723"/>
      <c r="O60" s="723"/>
      <c r="P60" s="723"/>
      <c r="Q60" s="723"/>
    </row>
    <row r="61" spans="1:17" ht="27.75" customHeight="1" x14ac:dyDescent="0.25">
      <c r="A61" s="726" t="s">
        <v>1045</v>
      </c>
      <c r="B61" s="725" t="s">
        <v>658</v>
      </c>
      <c r="C61" s="750">
        <v>12</v>
      </c>
      <c r="D61" s="976">
        <f t="shared" si="5"/>
        <v>4</v>
      </c>
      <c r="E61" s="975">
        <f t="shared" si="1"/>
        <v>12000</v>
      </c>
      <c r="F61" s="735"/>
      <c r="G61" s="727"/>
      <c r="H61" s="736"/>
      <c r="I61" s="734"/>
      <c r="J61" s="734"/>
      <c r="K61" s="734"/>
      <c r="L61" s="734"/>
      <c r="M61" s="734"/>
      <c r="N61" s="723"/>
      <c r="O61" s="723"/>
      <c r="P61" s="723"/>
      <c r="Q61" s="723"/>
    </row>
    <row r="62" spans="1:17" ht="27.75" customHeight="1" x14ac:dyDescent="0.25">
      <c r="A62" s="726" t="s">
        <v>1046</v>
      </c>
      <c r="B62" s="725" t="s">
        <v>658</v>
      </c>
      <c r="C62" s="750">
        <v>100</v>
      </c>
      <c r="D62" s="976">
        <f t="shared" si="5"/>
        <v>33.333333333333336</v>
      </c>
      <c r="E62" s="975">
        <f t="shared" si="1"/>
        <v>100000</v>
      </c>
      <c r="F62" s="735"/>
      <c r="G62" s="727"/>
      <c r="H62" s="736"/>
      <c r="I62" s="734"/>
      <c r="J62" s="734"/>
      <c r="K62" s="734"/>
      <c r="L62" s="734"/>
      <c r="M62" s="734"/>
      <c r="N62" s="723"/>
      <c r="O62" s="723"/>
      <c r="P62" s="723"/>
      <c r="Q62" s="723"/>
    </row>
    <row r="63" spans="1:17" ht="27.75" customHeight="1" x14ac:dyDescent="0.25">
      <c r="A63" s="726" t="s">
        <v>1047</v>
      </c>
      <c r="B63" s="725" t="s">
        <v>658</v>
      </c>
      <c r="C63" s="750">
        <v>95</v>
      </c>
      <c r="D63" s="976">
        <f t="shared" si="5"/>
        <v>31.666666666666668</v>
      </c>
      <c r="E63" s="975">
        <f t="shared" si="1"/>
        <v>95000</v>
      </c>
      <c r="F63" s="735"/>
      <c r="G63" s="727"/>
      <c r="H63" s="736"/>
      <c r="I63" s="734"/>
      <c r="J63" s="734"/>
      <c r="K63" s="734"/>
      <c r="L63" s="734"/>
      <c r="M63" s="734"/>
      <c r="N63" s="723"/>
      <c r="O63" s="723"/>
      <c r="P63" s="723"/>
      <c r="Q63" s="723"/>
    </row>
    <row r="64" spans="1:17" ht="27.75" customHeight="1" x14ac:dyDescent="0.25">
      <c r="A64" s="726" t="s">
        <v>1048</v>
      </c>
      <c r="B64" s="725" t="s">
        <v>658</v>
      </c>
      <c r="C64" s="750">
        <v>12</v>
      </c>
      <c r="D64" s="976">
        <f t="shared" si="5"/>
        <v>4</v>
      </c>
      <c r="E64" s="975">
        <f t="shared" si="1"/>
        <v>12000</v>
      </c>
      <c r="F64" s="735"/>
      <c r="G64" s="727"/>
      <c r="H64" s="736"/>
      <c r="I64" s="734"/>
      <c r="J64" s="734"/>
      <c r="K64" s="734"/>
      <c r="L64" s="734"/>
      <c r="M64" s="734"/>
      <c r="N64" s="723"/>
      <c r="O64" s="723"/>
      <c r="P64" s="723"/>
      <c r="Q64" s="723"/>
    </row>
    <row r="65" spans="1:17" ht="27.75" customHeight="1" x14ac:dyDescent="0.25">
      <c r="A65" s="726" t="s">
        <v>1049</v>
      </c>
      <c r="B65" s="725" t="s">
        <v>658</v>
      </c>
      <c r="C65" s="750">
        <v>30</v>
      </c>
      <c r="D65" s="976">
        <f t="shared" si="5"/>
        <v>10</v>
      </c>
      <c r="E65" s="975">
        <f t="shared" si="1"/>
        <v>30000</v>
      </c>
      <c r="F65" s="735"/>
      <c r="G65" s="727"/>
      <c r="H65" s="736"/>
      <c r="I65" s="734"/>
      <c r="J65" s="734"/>
      <c r="K65" s="734"/>
      <c r="L65" s="734"/>
      <c r="M65" s="734"/>
      <c r="N65" s="723"/>
      <c r="O65" s="723"/>
      <c r="P65" s="723"/>
      <c r="Q65" s="723"/>
    </row>
    <row r="66" spans="1:17" ht="27.75" customHeight="1" x14ac:dyDescent="0.25">
      <c r="A66" s="726" t="s">
        <v>1050</v>
      </c>
      <c r="B66" s="725" t="s">
        <v>658</v>
      </c>
      <c r="C66" s="750">
        <v>70</v>
      </c>
      <c r="D66" s="976">
        <f t="shared" si="5"/>
        <v>23.333333333333332</v>
      </c>
      <c r="E66" s="975">
        <f t="shared" si="1"/>
        <v>70000</v>
      </c>
      <c r="F66" s="735"/>
      <c r="G66" s="727"/>
      <c r="H66" s="736"/>
      <c r="I66" s="734"/>
      <c r="J66" s="734"/>
      <c r="K66" s="734"/>
      <c r="L66" s="734"/>
      <c r="M66" s="734"/>
      <c r="N66" s="723"/>
      <c r="O66" s="723"/>
      <c r="P66" s="723"/>
      <c r="Q66" s="723"/>
    </row>
    <row r="67" spans="1:17" ht="27.75" customHeight="1" x14ac:dyDescent="0.25">
      <c r="A67" s="726" t="s">
        <v>1051</v>
      </c>
      <c r="B67" s="725" t="s">
        <v>658</v>
      </c>
      <c r="C67" s="750">
        <v>65</v>
      </c>
      <c r="D67" s="715">
        <v>25.3</v>
      </c>
      <c r="E67" s="975">
        <f t="shared" si="1"/>
        <v>65000</v>
      </c>
      <c r="F67" s="735"/>
      <c r="G67" s="727"/>
      <c r="H67" s="736"/>
      <c r="I67" s="734"/>
      <c r="J67" s="734"/>
      <c r="K67" s="734"/>
      <c r="L67" s="734"/>
      <c r="M67" s="734"/>
      <c r="N67" s="723"/>
      <c r="O67" s="723"/>
      <c r="P67" s="723"/>
      <c r="Q67" s="723"/>
    </row>
    <row r="68" spans="1:17" ht="27.75" customHeight="1" x14ac:dyDescent="0.25">
      <c r="A68" s="726" t="s">
        <v>1052</v>
      </c>
      <c r="B68" s="725" t="s">
        <v>658</v>
      </c>
      <c r="C68" s="750">
        <v>45</v>
      </c>
      <c r="D68" s="976">
        <f>C68/3</f>
        <v>15</v>
      </c>
      <c r="E68" s="975">
        <f t="shared" si="1"/>
        <v>45000</v>
      </c>
      <c r="F68" s="735"/>
      <c r="G68" s="727"/>
      <c r="H68" s="736"/>
      <c r="I68" s="734"/>
      <c r="J68" s="734"/>
      <c r="K68" s="734"/>
      <c r="L68" s="734"/>
      <c r="M68" s="734"/>
      <c r="N68" s="723"/>
      <c r="O68" s="723"/>
      <c r="P68" s="723"/>
      <c r="Q68" s="723"/>
    </row>
    <row r="69" spans="1:17" ht="27.75" customHeight="1" x14ac:dyDescent="0.25">
      <c r="A69" s="726" t="s">
        <v>1053</v>
      </c>
      <c r="B69" s="725" t="s">
        <v>658</v>
      </c>
      <c r="C69" s="750">
        <v>100</v>
      </c>
      <c r="D69" s="976">
        <f>C69/3</f>
        <v>33.333333333333336</v>
      </c>
      <c r="E69" s="975">
        <f t="shared" si="1"/>
        <v>100000</v>
      </c>
      <c r="F69" s="735"/>
      <c r="G69" s="727"/>
      <c r="H69" s="736"/>
      <c r="I69" s="734"/>
      <c r="J69" s="734"/>
      <c r="K69" s="734"/>
      <c r="L69" s="734"/>
      <c r="M69" s="734"/>
      <c r="N69" s="723"/>
      <c r="O69" s="723"/>
      <c r="P69" s="723"/>
      <c r="Q69" s="723"/>
    </row>
    <row r="70" spans="1:17" ht="27.75" customHeight="1" x14ac:dyDescent="0.25">
      <c r="A70" s="726" t="s">
        <v>1054</v>
      </c>
      <c r="B70" s="725" t="s">
        <v>658</v>
      </c>
      <c r="C70" s="750">
        <v>60</v>
      </c>
      <c r="D70" s="715">
        <v>18.34</v>
      </c>
      <c r="E70" s="975">
        <f t="shared" si="1"/>
        <v>60000</v>
      </c>
      <c r="F70" s="735"/>
      <c r="G70" s="727"/>
      <c r="H70" s="736"/>
      <c r="I70" s="734"/>
      <c r="J70" s="734"/>
      <c r="K70" s="734"/>
      <c r="L70" s="734"/>
      <c r="M70" s="734"/>
      <c r="N70" s="723"/>
      <c r="O70" s="723"/>
      <c r="P70" s="723"/>
      <c r="Q70" s="723"/>
    </row>
    <row r="71" spans="1:17" ht="27.75" customHeight="1" x14ac:dyDescent="0.25">
      <c r="A71" s="726" t="s">
        <v>1055</v>
      </c>
      <c r="B71" s="725" t="s">
        <v>658</v>
      </c>
      <c r="C71" s="750">
        <v>80</v>
      </c>
      <c r="D71" s="715">
        <v>23</v>
      </c>
      <c r="E71" s="975">
        <f t="shared" si="1"/>
        <v>80000</v>
      </c>
      <c r="F71" s="735"/>
      <c r="G71" s="727"/>
      <c r="H71" s="736"/>
      <c r="I71" s="734"/>
      <c r="J71" s="734"/>
      <c r="K71" s="734"/>
      <c r="L71" s="734"/>
      <c r="M71" s="734"/>
      <c r="N71" s="723"/>
      <c r="O71" s="723"/>
      <c r="P71" s="723"/>
      <c r="Q71" s="723"/>
    </row>
    <row r="72" spans="1:17" ht="27.75" customHeight="1" x14ac:dyDescent="0.25">
      <c r="A72" s="726" t="s">
        <v>1056</v>
      </c>
      <c r="B72" s="725" t="s">
        <v>658</v>
      </c>
      <c r="C72" s="750">
        <v>170</v>
      </c>
      <c r="D72" s="976">
        <f>C72/3</f>
        <v>56.666666666666664</v>
      </c>
      <c r="E72" s="975">
        <f t="shared" ref="E72:E135" si="6">C72*1000</f>
        <v>170000</v>
      </c>
      <c r="F72" s="735"/>
      <c r="G72" s="727"/>
      <c r="H72" s="736"/>
      <c r="I72" s="734"/>
      <c r="J72" s="734"/>
      <c r="K72" s="734"/>
      <c r="L72" s="734"/>
      <c r="M72" s="734"/>
      <c r="N72" s="723"/>
      <c r="O72" s="723"/>
      <c r="P72" s="723"/>
      <c r="Q72" s="723"/>
    </row>
    <row r="73" spans="1:17" ht="27.75" customHeight="1" x14ac:dyDescent="0.25">
      <c r="A73" s="726" t="s">
        <v>1057</v>
      </c>
      <c r="B73" s="725" t="s">
        <v>658</v>
      </c>
      <c r="C73" s="750">
        <v>160</v>
      </c>
      <c r="D73" s="715">
        <v>92.03</v>
      </c>
      <c r="E73" s="975">
        <f t="shared" si="6"/>
        <v>160000</v>
      </c>
      <c r="F73" s="740"/>
      <c r="G73" s="733"/>
      <c r="H73" s="741"/>
      <c r="I73" s="734"/>
      <c r="J73" s="734"/>
      <c r="K73" s="734"/>
      <c r="L73" s="734"/>
      <c r="M73" s="734"/>
      <c r="N73" s="723"/>
      <c r="O73" s="723"/>
      <c r="P73" s="723"/>
      <c r="Q73" s="723"/>
    </row>
    <row r="74" spans="1:17" ht="27.75" customHeight="1" x14ac:dyDescent="0.25">
      <c r="A74" s="726" t="s">
        <v>1058</v>
      </c>
      <c r="B74" s="725" t="s">
        <v>658</v>
      </c>
      <c r="C74" s="750">
        <v>320</v>
      </c>
      <c r="D74" s="976">
        <f>C74/3</f>
        <v>106.66666666666667</v>
      </c>
      <c r="E74" s="975">
        <f t="shared" si="6"/>
        <v>320000</v>
      </c>
      <c r="F74" s="735"/>
      <c r="G74" s="727"/>
      <c r="H74" s="736"/>
      <c r="I74" s="734"/>
      <c r="J74" s="734"/>
      <c r="K74" s="734"/>
      <c r="L74" s="734"/>
      <c r="M74" s="734"/>
      <c r="N74" s="723"/>
      <c r="O74" s="723"/>
      <c r="P74" s="723"/>
      <c r="Q74" s="723"/>
    </row>
    <row r="75" spans="1:17" ht="27.75" customHeight="1" x14ac:dyDescent="0.25">
      <c r="A75" s="726" t="s">
        <v>1059</v>
      </c>
      <c r="B75" s="725" t="s">
        <v>658</v>
      </c>
      <c r="C75" s="750">
        <v>80</v>
      </c>
      <c r="D75" s="715">
        <v>24.04</v>
      </c>
      <c r="E75" s="975">
        <f t="shared" si="6"/>
        <v>80000</v>
      </c>
      <c r="F75" s="735"/>
      <c r="G75" s="727"/>
      <c r="H75" s="736"/>
      <c r="I75" s="734"/>
      <c r="J75" s="734"/>
      <c r="K75" s="734"/>
      <c r="L75" s="734"/>
      <c r="M75" s="734"/>
      <c r="N75" s="723"/>
      <c r="O75" s="723"/>
      <c r="P75" s="723"/>
      <c r="Q75" s="723"/>
    </row>
    <row r="76" spans="1:17" ht="27.75" customHeight="1" x14ac:dyDescent="0.25">
      <c r="A76" s="726" t="s">
        <v>1060</v>
      </c>
      <c r="B76" s="725" t="s">
        <v>658</v>
      </c>
      <c r="C76" s="750">
        <v>71</v>
      </c>
      <c r="D76" s="715">
        <v>23.34</v>
      </c>
      <c r="E76" s="975">
        <f t="shared" si="6"/>
        <v>71000</v>
      </c>
      <c r="F76" s="735"/>
      <c r="G76" s="727"/>
      <c r="H76" s="736"/>
      <c r="I76" s="734"/>
      <c r="J76" s="734"/>
      <c r="K76" s="734"/>
      <c r="L76" s="734"/>
      <c r="M76" s="734"/>
      <c r="N76" s="723"/>
      <c r="O76" s="723"/>
      <c r="P76" s="723"/>
      <c r="Q76" s="723"/>
    </row>
    <row r="77" spans="1:17" ht="27.75" customHeight="1" x14ac:dyDescent="0.25">
      <c r="A77" s="726" t="s">
        <v>1061</v>
      </c>
      <c r="B77" s="725" t="s">
        <v>658</v>
      </c>
      <c r="C77" s="750">
        <v>140</v>
      </c>
      <c r="D77" s="715">
        <v>39.24</v>
      </c>
      <c r="E77" s="975">
        <f t="shared" si="6"/>
        <v>140000</v>
      </c>
      <c r="F77" s="735"/>
      <c r="G77" s="727"/>
      <c r="H77" s="736"/>
      <c r="I77" s="734"/>
      <c r="J77" s="734"/>
      <c r="K77" s="734"/>
      <c r="L77" s="734"/>
      <c r="M77" s="734"/>
      <c r="N77" s="723"/>
      <c r="O77" s="723"/>
      <c r="P77" s="723"/>
      <c r="Q77" s="723"/>
    </row>
    <row r="78" spans="1:17" ht="27.75" customHeight="1" x14ac:dyDescent="0.25">
      <c r="A78" s="720" t="s">
        <v>1062</v>
      </c>
      <c r="B78" s="725"/>
      <c r="C78" s="750"/>
      <c r="D78" s="976">
        <f t="shared" ref="D78:D84" si="7">C78/3</f>
        <v>0</v>
      </c>
      <c r="E78" s="975">
        <f t="shared" si="6"/>
        <v>0</v>
      </c>
      <c r="F78" s="735"/>
      <c r="G78" s="727"/>
      <c r="H78" s="736"/>
      <c r="I78" s="734"/>
      <c r="J78" s="734"/>
      <c r="K78" s="734"/>
      <c r="L78" s="734"/>
      <c r="M78" s="734"/>
      <c r="N78" s="723"/>
      <c r="O78" s="723"/>
      <c r="P78" s="723"/>
      <c r="Q78" s="723"/>
    </row>
    <row r="79" spans="1:17" ht="27.75" customHeight="1" x14ac:dyDescent="0.25">
      <c r="A79" s="726" t="s">
        <v>1063</v>
      </c>
      <c r="B79" s="725" t="s">
        <v>658</v>
      </c>
      <c r="C79" s="750">
        <v>100</v>
      </c>
      <c r="D79" s="976">
        <f t="shared" si="7"/>
        <v>33.333333333333336</v>
      </c>
      <c r="E79" s="975">
        <f t="shared" si="6"/>
        <v>100000</v>
      </c>
      <c r="F79" s="735"/>
      <c r="G79" s="727"/>
      <c r="H79" s="736"/>
      <c r="I79" s="734"/>
      <c r="J79" s="734"/>
      <c r="K79" s="734"/>
      <c r="L79" s="734"/>
      <c r="M79" s="734"/>
      <c r="N79" s="723"/>
      <c r="O79" s="723"/>
      <c r="P79" s="723"/>
      <c r="Q79" s="723"/>
    </row>
    <row r="80" spans="1:17" ht="27.75" customHeight="1" x14ac:dyDescent="0.25">
      <c r="A80" s="726" t="s">
        <v>1064</v>
      </c>
      <c r="B80" s="725" t="s">
        <v>658</v>
      </c>
      <c r="C80" s="750">
        <v>20</v>
      </c>
      <c r="D80" s="976">
        <f t="shared" si="7"/>
        <v>6.666666666666667</v>
      </c>
      <c r="E80" s="975">
        <f t="shared" si="6"/>
        <v>20000</v>
      </c>
      <c r="F80" s="735"/>
      <c r="G80" s="727"/>
      <c r="H80" s="736"/>
      <c r="I80" s="734"/>
      <c r="J80" s="734"/>
      <c r="K80" s="734"/>
      <c r="L80" s="734"/>
      <c r="M80" s="734"/>
      <c r="N80" s="723"/>
      <c r="O80" s="723"/>
      <c r="P80" s="723"/>
      <c r="Q80" s="723"/>
    </row>
    <row r="81" spans="1:17" ht="27.75" customHeight="1" x14ac:dyDescent="0.25">
      <c r="A81" s="726" t="s">
        <v>1065</v>
      </c>
      <c r="B81" s="725" t="s">
        <v>658</v>
      </c>
      <c r="C81" s="750">
        <v>67</v>
      </c>
      <c r="D81" s="976">
        <f t="shared" si="7"/>
        <v>22.333333333333332</v>
      </c>
      <c r="E81" s="975">
        <f t="shared" si="6"/>
        <v>67000</v>
      </c>
      <c r="F81" s="735"/>
      <c r="G81" s="727"/>
      <c r="H81" s="736"/>
      <c r="I81" s="734"/>
      <c r="J81" s="734"/>
      <c r="K81" s="734"/>
      <c r="L81" s="734"/>
      <c r="M81" s="734"/>
      <c r="N81" s="723"/>
      <c r="O81" s="723"/>
      <c r="P81" s="723"/>
      <c r="Q81" s="723"/>
    </row>
    <row r="82" spans="1:17" ht="27.75" customHeight="1" x14ac:dyDescent="0.25">
      <c r="A82" s="726" t="s">
        <v>1066</v>
      </c>
      <c r="B82" s="725" t="s">
        <v>658</v>
      </c>
      <c r="C82" s="750">
        <v>95</v>
      </c>
      <c r="D82" s="976">
        <f t="shared" si="7"/>
        <v>31.666666666666668</v>
      </c>
      <c r="E82" s="975">
        <f t="shared" si="6"/>
        <v>95000</v>
      </c>
      <c r="F82" s="737"/>
      <c r="G82" s="727"/>
      <c r="H82" s="736"/>
      <c r="I82" s="734"/>
      <c r="J82" s="734"/>
      <c r="K82" s="734"/>
      <c r="L82" s="734"/>
      <c r="M82" s="734"/>
      <c r="N82" s="723"/>
      <c r="O82" s="723"/>
      <c r="P82" s="723"/>
      <c r="Q82" s="723"/>
    </row>
    <row r="83" spans="1:17" ht="27.75" customHeight="1" x14ac:dyDescent="0.25">
      <c r="A83" s="726" t="s">
        <v>1067</v>
      </c>
      <c r="B83" s="725" t="s">
        <v>658</v>
      </c>
      <c r="C83" s="750">
        <v>50</v>
      </c>
      <c r="D83" s="976">
        <f t="shared" si="7"/>
        <v>16.666666666666668</v>
      </c>
      <c r="E83" s="975">
        <f t="shared" si="6"/>
        <v>50000</v>
      </c>
      <c r="F83" s="735"/>
      <c r="G83" s="727"/>
      <c r="H83" s="736"/>
      <c r="I83" s="734"/>
      <c r="J83" s="734"/>
      <c r="K83" s="734"/>
      <c r="L83" s="734"/>
      <c r="M83" s="734"/>
      <c r="N83" s="723"/>
      <c r="O83" s="723"/>
      <c r="P83" s="723"/>
      <c r="Q83" s="723"/>
    </row>
    <row r="84" spans="1:17" ht="27.75" customHeight="1" x14ac:dyDescent="0.25">
      <c r="A84" s="726" t="s">
        <v>1068</v>
      </c>
      <c r="B84" s="725" t="s">
        <v>658</v>
      </c>
      <c r="C84" s="750">
        <v>15</v>
      </c>
      <c r="D84" s="976">
        <f t="shared" si="7"/>
        <v>5</v>
      </c>
      <c r="E84" s="975">
        <f t="shared" si="6"/>
        <v>15000</v>
      </c>
      <c r="F84" s="735"/>
      <c r="G84" s="727"/>
      <c r="H84" s="736"/>
      <c r="I84" s="734"/>
      <c r="J84" s="734"/>
      <c r="K84" s="734"/>
      <c r="L84" s="734"/>
      <c r="M84" s="734"/>
      <c r="N84" s="723"/>
      <c r="O84" s="723"/>
      <c r="P84" s="723"/>
      <c r="Q84" s="723"/>
    </row>
    <row r="85" spans="1:17" ht="27.75" customHeight="1" x14ac:dyDescent="0.25">
      <c r="A85" s="726" t="s">
        <v>759</v>
      </c>
      <c r="B85" s="725" t="s">
        <v>658</v>
      </c>
      <c r="C85" s="750">
        <v>87</v>
      </c>
      <c r="D85" s="715">
        <v>24.59</v>
      </c>
      <c r="E85" s="975">
        <f t="shared" si="6"/>
        <v>87000</v>
      </c>
      <c r="F85" s="735"/>
      <c r="G85" s="727"/>
      <c r="H85" s="736"/>
      <c r="I85" s="734"/>
      <c r="J85" s="734"/>
      <c r="K85" s="734"/>
      <c r="L85" s="734"/>
      <c r="M85" s="734"/>
      <c r="N85" s="723"/>
      <c r="O85" s="723"/>
      <c r="P85" s="723"/>
      <c r="Q85" s="723"/>
    </row>
    <row r="86" spans="1:17" ht="27.75" customHeight="1" x14ac:dyDescent="0.25">
      <c r="A86" s="726" t="s">
        <v>1069</v>
      </c>
      <c r="B86" s="725" t="s">
        <v>658</v>
      </c>
      <c r="C86" s="750">
        <v>40</v>
      </c>
      <c r="D86" s="976">
        <f>C86/3</f>
        <v>13.333333333333334</v>
      </c>
      <c r="E86" s="975">
        <f t="shared" si="6"/>
        <v>40000</v>
      </c>
      <c r="F86" s="735"/>
      <c r="G86" s="727"/>
      <c r="H86" s="736"/>
      <c r="I86" s="734"/>
      <c r="J86" s="734"/>
      <c r="K86" s="734"/>
      <c r="L86" s="734"/>
      <c r="M86" s="734"/>
      <c r="N86" s="723"/>
      <c r="O86" s="723"/>
      <c r="P86" s="723"/>
      <c r="Q86" s="723"/>
    </row>
    <row r="87" spans="1:17" ht="27.75" customHeight="1" x14ac:dyDescent="0.25">
      <c r="A87" s="726" t="s">
        <v>1070</v>
      </c>
      <c r="B87" s="725" t="s">
        <v>658</v>
      </c>
      <c r="C87" s="750">
        <v>62</v>
      </c>
      <c r="D87" s="976">
        <f>C87/3</f>
        <v>20.666666666666668</v>
      </c>
      <c r="E87" s="975">
        <f t="shared" si="6"/>
        <v>62000</v>
      </c>
      <c r="F87" s="735"/>
      <c r="G87" s="727"/>
      <c r="H87" s="736"/>
      <c r="I87" s="734"/>
      <c r="J87" s="734"/>
      <c r="K87" s="734"/>
      <c r="L87" s="734"/>
      <c r="M87" s="734"/>
      <c r="N87" s="723"/>
      <c r="O87" s="723"/>
      <c r="P87" s="723"/>
      <c r="Q87" s="723"/>
    </row>
    <row r="88" spans="1:17" ht="27.75" customHeight="1" x14ac:dyDescent="0.25">
      <c r="A88" s="726" t="s">
        <v>1071</v>
      </c>
      <c r="B88" s="725" t="s">
        <v>658</v>
      </c>
      <c r="C88" s="750">
        <v>20</v>
      </c>
      <c r="D88" s="715">
        <v>9.7200000000000006</v>
      </c>
      <c r="E88" s="975">
        <f t="shared" si="6"/>
        <v>20000</v>
      </c>
      <c r="F88" s="735"/>
      <c r="G88" s="727"/>
      <c r="H88" s="736"/>
      <c r="I88" s="734"/>
      <c r="J88" s="734"/>
      <c r="K88" s="734"/>
      <c r="L88" s="734"/>
      <c r="M88" s="734"/>
      <c r="N88" s="723"/>
      <c r="O88" s="723"/>
      <c r="P88" s="723"/>
      <c r="Q88" s="723"/>
    </row>
    <row r="89" spans="1:17" ht="27.75" customHeight="1" x14ac:dyDescent="0.25">
      <c r="A89" s="726" t="s">
        <v>1072</v>
      </c>
      <c r="B89" s="725" t="s">
        <v>658</v>
      </c>
      <c r="C89" s="750">
        <v>30</v>
      </c>
      <c r="D89" s="715">
        <v>8.35</v>
      </c>
      <c r="E89" s="975">
        <f t="shared" si="6"/>
        <v>30000</v>
      </c>
      <c r="F89" s="735"/>
      <c r="G89" s="727"/>
      <c r="H89" s="736"/>
      <c r="I89" s="734"/>
      <c r="J89" s="734"/>
      <c r="K89" s="734"/>
      <c r="L89" s="734"/>
      <c r="M89" s="734"/>
      <c r="N89" s="723"/>
      <c r="O89" s="723"/>
      <c r="P89" s="723"/>
      <c r="Q89" s="723"/>
    </row>
    <row r="90" spans="1:17" ht="27.75" customHeight="1" x14ac:dyDescent="0.25">
      <c r="A90" s="726" t="s">
        <v>1073</v>
      </c>
      <c r="B90" s="725" t="s">
        <v>658</v>
      </c>
      <c r="C90" s="750">
        <v>50</v>
      </c>
      <c r="D90" s="976">
        <f>C90/3</f>
        <v>16.666666666666668</v>
      </c>
      <c r="E90" s="975">
        <f t="shared" si="6"/>
        <v>50000</v>
      </c>
      <c r="F90" s="735"/>
      <c r="G90" s="727"/>
      <c r="H90" s="736"/>
      <c r="I90" s="734"/>
      <c r="J90" s="734"/>
      <c r="K90" s="734"/>
      <c r="L90" s="734"/>
      <c r="M90" s="734"/>
      <c r="N90" s="723"/>
      <c r="O90" s="723"/>
      <c r="P90" s="723"/>
      <c r="Q90" s="723"/>
    </row>
    <row r="91" spans="1:17" ht="27.75" customHeight="1" x14ac:dyDescent="0.25">
      <c r="A91" s="726" t="s">
        <v>1074</v>
      </c>
      <c r="B91" s="725" t="s">
        <v>658</v>
      </c>
      <c r="C91" s="750">
        <v>1150</v>
      </c>
      <c r="D91" s="976">
        <f>C91/3</f>
        <v>383.33333333333331</v>
      </c>
      <c r="E91" s="975">
        <f t="shared" si="6"/>
        <v>1150000</v>
      </c>
      <c r="F91" s="735"/>
      <c r="G91" s="727"/>
      <c r="H91" s="736"/>
      <c r="I91" s="734"/>
      <c r="J91" s="734"/>
      <c r="K91" s="734"/>
      <c r="L91" s="734"/>
      <c r="M91" s="734"/>
      <c r="N91" s="723"/>
      <c r="O91" s="723"/>
      <c r="P91" s="723"/>
      <c r="Q91" s="723"/>
    </row>
    <row r="92" spans="1:17" ht="27.75" customHeight="1" x14ac:dyDescent="0.25">
      <c r="A92" s="726" t="s">
        <v>1075</v>
      </c>
      <c r="B92" s="725" t="s">
        <v>658</v>
      </c>
      <c r="C92" s="750">
        <v>30</v>
      </c>
      <c r="D92" s="715">
        <v>11.03</v>
      </c>
      <c r="E92" s="975">
        <f t="shared" si="6"/>
        <v>30000</v>
      </c>
      <c r="F92" s="735"/>
      <c r="G92" s="727"/>
      <c r="H92" s="736"/>
      <c r="I92" s="734"/>
      <c r="J92" s="734"/>
      <c r="K92" s="734"/>
      <c r="L92" s="734"/>
      <c r="M92" s="734"/>
      <c r="N92" s="723"/>
      <c r="O92" s="723"/>
      <c r="P92" s="723"/>
      <c r="Q92" s="723"/>
    </row>
    <row r="93" spans="1:17" ht="27.75" customHeight="1" x14ac:dyDescent="0.25">
      <c r="A93" s="726" t="s">
        <v>1076</v>
      </c>
      <c r="B93" s="725" t="s">
        <v>658</v>
      </c>
      <c r="C93" s="750">
        <v>70</v>
      </c>
      <c r="D93" s="976">
        <f>C93/3</f>
        <v>23.333333333333332</v>
      </c>
      <c r="E93" s="975">
        <f t="shared" si="6"/>
        <v>70000</v>
      </c>
      <c r="F93" s="735"/>
      <c r="G93" s="727"/>
      <c r="H93" s="736"/>
      <c r="I93" s="734"/>
      <c r="J93" s="734"/>
      <c r="K93" s="734"/>
      <c r="L93" s="734"/>
      <c r="M93" s="734"/>
      <c r="N93" s="723"/>
      <c r="O93" s="723"/>
      <c r="P93" s="723"/>
      <c r="Q93" s="723"/>
    </row>
    <row r="94" spans="1:17" ht="27.75" customHeight="1" x14ac:dyDescent="0.25">
      <c r="A94" s="726" t="s">
        <v>1077</v>
      </c>
      <c r="B94" s="725" t="s">
        <v>658</v>
      </c>
      <c r="C94" s="750">
        <v>70</v>
      </c>
      <c r="D94" s="976">
        <f>C94/3</f>
        <v>23.333333333333332</v>
      </c>
      <c r="E94" s="975">
        <f t="shared" si="6"/>
        <v>70000</v>
      </c>
      <c r="F94" s="735"/>
      <c r="G94" s="727"/>
      <c r="H94" s="736"/>
      <c r="I94" s="734"/>
      <c r="J94" s="734"/>
      <c r="K94" s="734"/>
      <c r="L94" s="734"/>
      <c r="M94" s="734"/>
      <c r="N94" s="723"/>
      <c r="O94" s="723"/>
      <c r="P94" s="723"/>
      <c r="Q94" s="723"/>
    </row>
    <row r="95" spans="1:17" ht="27.75" customHeight="1" x14ac:dyDescent="0.25">
      <c r="A95" s="726" t="s">
        <v>1078</v>
      </c>
      <c r="B95" s="725" t="s">
        <v>658</v>
      </c>
      <c r="C95" s="750">
        <v>85</v>
      </c>
      <c r="D95" s="976">
        <f>C95/3</f>
        <v>28.333333333333332</v>
      </c>
      <c r="E95" s="975">
        <f t="shared" si="6"/>
        <v>85000</v>
      </c>
      <c r="F95" s="735"/>
      <c r="G95" s="727"/>
      <c r="H95" s="736"/>
      <c r="I95" s="734"/>
      <c r="J95" s="734"/>
      <c r="K95" s="734"/>
      <c r="L95" s="734"/>
      <c r="M95" s="734"/>
      <c r="N95" s="723"/>
      <c r="O95" s="723"/>
      <c r="P95" s="723"/>
      <c r="Q95" s="723"/>
    </row>
    <row r="96" spans="1:17" ht="27.75" customHeight="1" x14ac:dyDescent="0.25">
      <c r="A96" s="726" t="s">
        <v>1079</v>
      </c>
      <c r="B96" s="725" t="s">
        <v>658</v>
      </c>
      <c r="C96" s="750">
        <v>60</v>
      </c>
      <c r="D96" s="715">
        <v>19.62</v>
      </c>
      <c r="E96" s="975">
        <f t="shared" si="6"/>
        <v>60000</v>
      </c>
      <c r="F96" s="735"/>
      <c r="G96" s="727"/>
      <c r="H96" s="736"/>
      <c r="I96" s="734"/>
      <c r="J96" s="734"/>
      <c r="K96" s="734"/>
      <c r="L96" s="734"/>
      <c r="M96" s="734"/>
      <c r="N96" s="723"/>
      <c r="O96" s="723"/>
      <c r="P96" s="723"/>
      <c r="Q96" s="723"/>
    </row>
    <row r="97" spans="1:17" ht="27.75" customHeight="1" x14ac:dyDescent="0.25">
      <c r="A97" s="726" t="s">
        <v>1080</v>
      </c>
      <c r="B97" s="725" t="s">
        <v>658</v>
      </c>
      <c r="C97" s="750">
        <v>20</v>
      </c>
      <c r="D97" s="976">
        <f>C97/3</f>
        <v>6.666666666666667</v>
      </c>
      <c r="E97" s="975">
        <f t="shared" si="6"/>
        <v>20000</v>
      </c>
      <c r="F97" s="735"/>
      <c r="G97" s="727"/>
      <c r="H97" s="736"/>
      <c r="I97" s="734"/>
      <c r="J97" s="734"/>
      <c r="K97" s="734"/>
      <c r="L97" s="734"/>
      <c r="M97" s="734"/>
      <c r="N97" s="723"/>
      <c r="O97" s="723"/>
      <c r="P97" s="723"/>
      <c r="Q97" s="723"/>
    </row>
    <row r="98" spans="1:17" ht="27.75" customHeight="1" x14ac:dyDescent="0.25">
      <c r="A98" s="726" t="s">
        <v>1081</v>
      </c>
      <c r="B98" s="725" t="s">
        <v>658</v>
      </c>
      <c r="C98" s="750">
        <v>15</v>
      </c>
      <c r="D98" s="976">
        <f>C98/3</f>
        <v>5</v>
      </c>
      <c r="E98" s="975">
        <f t="shared" si="6"/>
        <v>15000</v>
      </c>
      <c r="F98" s="735"/>
      <c r="G98" s="727"/>
      <c r="H98" s="736"/>
      <c r="I98" s="734"/>
      <c r="J98" s="734"/>
      <c r="K98" s="734"/>
      <c r="L98" s="734"/>
      <c r="M98" s="734"/>
      <c r="N98" s="723"/>
      <c r="O98" s="723"/>
      <c r="P98" s="723"/>
      <c r="Q98" s="723"/>
    </row>
    <row r="99" spans="1:17" ht="27.75" customHeight="1" x14ac:dyDescent="0.25">
      <c r="A99" s="726" t="s">
        <v>1082</v>
      </c>
      <c r="B99" s="725" t="s">
        <v>658</v>
      </c>
      <c r="C99" s="750">
        <v>15</v>
      </c>
      <c r="D99" s="976">
        <f>C99/3</f>
        <v>5</v>
      </c>
      <c r="E99" s="975">
        <f t="shared" si="6"/>
        <v>15000</v>
      </c>
      <c r="F99" s="735"/>
      <c r="G99" s="727"/>
      <c r="H99" s="736"/>
      <c r="I99" s="734"/>
      <c r="J99" s="734"/>
      <c r="K99" s="734"/>
      <c r="L99" s="734"/>
      <c r="M99" s="734"/>
      <c r="N99" s="723"/>
      <c r="O99" s="723"/>
      <c r="P99" s="723"/>
      <c r="Q99" s="723"/>
    </row>
    <row r="100" spans="1:17" ht="27.75" customHeight="1" x14ac:dyDescent="0.25">
      <c r="A100" s="726" t="s">
        <v>1083</v>
      </c>
      <c r="B100" s="725" t="s">
        <v>658</v>
      </c>
      <c r="C100" s="750">
        <v>15</v>
      </c>
      <c r="D100" s="715">
        <v>4.3899999999999997</v>
      </c>
      <c r="E100" s="975">
        <f t="shared" si="6"/>
        <v>15000</v>
      </c>
      <c r="F100" s="735"/>
      <c r="G100" s="727"/>
      <c r="H100" s="736"/>
      <c r="I100" s="734"/>
      <c r="J100" s="734"/>
      <c r="K100" s="734"/>
      <c r="L100" s="734"/>
      <c r="M100" s="734"/>
      <c r="N100" s="723"/>
      <c r="O100" s="723"/>
      <c r="P100" s="723"/>
      <c r="Q100" s="723"/>
    </row>
    <row r="101" spans="1:17" ht="27.75" customHeight="1" x14ac:dyDescent="0.25">
      <c r="A101" s="726" t="s">
        <v>1084</v>
      </c>
      <c r="B101" s="725" t="s">
        <v>658</v>
      </c>
      <c r="C101" s="750">
        <v>15</v>
      </c>
      <c r="D101" s="976">
        <f>C101/3</f>
        <v>5</v>
      </c>
      <c r="E101" s="975">
        <f t="shared" si="6"/>
        <v>15000</v>
      </c>
      <c r="F101" s="735"/>
      <c r="G101" s="727"/>
      <c r="H101" s="736"/>
      <c r="I101" s="734"/>
      <c r="J101" s="734"/>
      <c r="K101" s="734"/>
      <c r="L101" s="734"/>
      <c r="M101" s="734"/>
      <c r="N101" s="723"/>
      <c r="O101" s="723"/>
      <c r="P101" s="723"/>
      <c r="Q101" s="723"/>
    </row>
    <row r="102" spans="1:17" ht="27.75" customHeight="1" x14ac:dyDescent="0.25">
      <c r="A102" s="726" t="s">
        <v>1085</v>
      </c>
      <c r="B102" s="725" t="s">
        <v>658</v>
      </c>
      <c r="C102" s="750">
        <v>39</v>
      </c>
      <c r="D102" s="976">
        <f>C102/3</f>
        <v>13</v>
      </c>
      <c r="E102" s="975">
        <f t="shared" si="6"/>
        <v>39000</v>
      </c>
      <c r="F102" s="735"/>
      <c r="G102" s="727"/>
      <c r="H102" s="736"/>
      <c r="I102" s="734"/>
      <c r="J102" s="734"/>
      <c r="K102" s="734"/>
      <c r="L102" s="734"/>
      <c r="M102" s="734"/>
      <c r="N102" s="723"/>
      <c r="O102" s="723"/>
      <c r="P102" s="723"/>
      <c r="Q102" s="723"/>
    </row>
    <row r="103" spans="1:17" ht="27.75" customHeight="1" x14ac:dyDescent="0.25">
      <c r="A103" s="726" t="s">
        <v>1086</v>
      </c>
      <c r="B103" s="725" t="s">
        <v>658</v>
      </c>
      <c r="C103" s="750">
        <v>56</v>
      </c>
      <c r="D103" s="976">
        <f>C103/3</f>
        <v>18.666666666666668</v>
      </c>
      <c r="E103" s="975">
        <f t="shared" si="6"/>
        <v>56000</v>
      </c>
      <c r="F103" s="735"/>
      <c r="G103" s="727"/>
      <c r="H103" s="736"/>
      <c r="I103" s="734"/>
      <c r="J103" s="734"/>
      <c r="K103" s="734"/>
      <c r="L103" s="734"/>
      <c r="M103" s="734"/>
      <c r="N103" s="723"/>
      <c r="O103" s="723"/>
      <c r="P103" s="723"/>
      <c r="Q103" s="723"/>
    </row>
    <row r="104" spans="1:17" ht="27.75" customHeight="1" x14ac:dyDescent="0.25">
      <c r="A104" s="726" t="s">
        <v>1087</v>
      </c>
      <c r="B104" s="725" t="s">
        <v>658</v>
      </c>
      <c r="C104" s="750">
        <v>70</v>
      </c>
      <c r="D104" s="976">
        <f>C104/3</f>
        <v>23.333333333333332</v>
      </c>
      <c r="E104" s="975">
        <f t="shared" si="6"/>
        <v>70000</v>
      </c>
      <c r="F104" s="735"/>
      <c r="G104" s="727"/>
      <c r="H104" s="736"/>
      <c r="I104" s="734"/>
      <c r="J104" s="734"/>
      <c r="K104" s="734"/>
      <c r="L104" s="734"/>
      <c r="M104" s="734"/>
      <c r="N104" s="723"/>
      <c r="O104" s="723"/>
      <c r="P104" s="723"/>
      <c r="Q104" s="723"/>
    </row>
    <row r="105" spans="1:17" ht="27.75" customHeight="1" x14ac:dyDescent="0.25">
      <c r="A105" s="726" t="s">
        <v>1088</v>
      </c>
      <c r="B105" s="725" t="s">
        <v>658</v>
      </c>
      <c r="C105" s="750">
        <v>420</v>
      </c>
      <c r="D105" s="715">
        <v>161.34</v>
      </c>
      <c r="E105" s="975">
        <f t="shared" si="6"/>
        <v>420000</v>
      </c>
      <c r="F105" s="735"/>
      <c r="G105" s="727"/>
      <c r="H105" s="736"/>
      <c r="I105" s="734"/>
      <c r="J105" s="734"/>
      <c r="K105" s="734"/>
      <c r="L105" s="734"/>
      <c r="M105" s="734"/>
      <c r="N105" s="723"/>
      <c r="O105" s="723"/>
      <c r="P105" s="723"/>
      <c r="Q105" s="723"/>
    </row>
    <row r="106" spans="1:17" ht="27.75" customHeight="1" x14ac:dyDescent="0.25">
      <c r="A106" s="726" t="s">
        <v>1089</v>
      </c>
      <c r="B106" s="725" t="s">
        <v>658</v>
      </c>
      <c r="C106" s="750">
        <v>120</v>
      </c>
      <c r="D106" s="976">
        <f t="shared" ref="D106:D122" si="8">C106/3</f>
        <v>40</v>
      </c>
      <c r="E106" s="975">
        <f t="shared" si="6"/>
        <v>120000</v>
      </c>
      <c r="F106" s="735"/>
      <c r="G106" s="727"/>
      <c r="H106" s="736"/>
      <c r="I106" s="734"/>
      <c r="J106" s="734"/>
      <c r="K106" s="734"/>
      <c r="L106" s="734"/>
      <c r="M106" s="734"/>
      <c r="N106" s="723"/>
      <c r="O106" s="723"/>
      <c r="P106" s="723"/>
      <c r="Q106" s="723"/>
    </row>
    <row r="107" spans="1:17" ht="27.75" customHeight="1" x14ac:dyDescent="0.25">
      <c r="A107" s="726" t="s">
        <v>1090</v>
      </c>
      <c r="B107" s="725" t="s">
        <v>658</v>
      </c>
      <c r="C107" s="750">
        <v>1110</v>
      </c>
      <c r="D107" s="976">
        <f t="shared" si="8"/>
        <v>370</v>
      </c>
      <c r="E107" s="975">
        <f t="shared" si="6"/>
        <v>1110000</v>
      </c>
      <c r="F107" s="735"/>
      <c r="G107" s="727"/>
      <c r="H107" s="736"/>
      <c r="I107" s="734"/>
      <c r="J107" s="734"/>
      <c r="K107" s="734"/>
      <c r="L107" s="734"/>
      <c r="M107" s="734"/>
      <c r="N107" s="723"/>
      <c r="O107" s="723"/>
      <c r="P107" s="723"/>
      <c r="Q107" s="723"/>
    </row>
    <row r="108" spans="1:17" ht="27.75" customHeight="1" x14ac:dyDescent="0.25">
      <c r="A108" s="726" t="s">
        <v>1091</v>
      </c>
      <c r="B108" s="725" t="s">
        <v>658</v>
      </c>
      <c r="C108" s="750">
        <v>12</v>
      </c>
      <c r="D108" s="976">
        <f t="shared" si="8"/>
        <v>4</v>
      </c>
      <c r="E108" s="975">
        <f t="shared" si="6"/>
        <v>12000</v>
      </c>
      <c r="F108" s="735"/>
      <c r="G108" s="727"/>
      <c r="H108" s="736"/>
      <c r="I108" s="734"/>
      <c r="J108" s="734"/>
      <c r="K108" s="734"/>
      <c r="L108" s="734"/>
      <c r="M108" s="734"/>
      <c r="N108" s="723"/>
      <c r="O108" s="723"/>
      <c r="P108" s="723"/>
      <c r="Q108" s="723"/>
    </row>
    <row r="109" spans="1:17" ht="27.75" customHeight="1" x14ac:dyDescent="0.25">
      <c r="A109" s="726" t="s">
        <v>1092</v>
      </c>
      <c r="B109" s="725" t="s">
        <v>658</v>
      </c>
      <c r="C109" s="750">
        <v>800</v>
      </c>
      <c r="D109" s="976">
        <f t="shared" si="8"/>
        <v>266.66666666666669</v>
      </c>
      <c r="E109" s="975">
        <f t="shared" si="6"/>
        <v>800000</v>
      </c>
      <c r="F109" s="735"/>
      <c r="G109" s="727"/>
      <c r="H109" s="736"/>
      <c r="I109" s="734"/>
      <c r="J109" s="734"/>
      <c r="K109" s="734"/>
      <c r="L109" s="734"/>
      <c r="M109" s="734"/>
      <c r="N109" s="723"/>
      <c r="O109" s="723"/>
      <c r="P109" s="723"/>
      <c r="Q109" s="723"/>
    </row>
    <row r="110" spans="1:17" ht="27.75" customHeight="1" x14ac:dyDescent="0.25">
      <c r="A110" s="726" t="s">
        <v>1093</v>
      </c>
      <c r="B110" s="725" t="s">
        <v>658</v>
      </c>
      <c r="C110" s="750">
        <v>150</v>
      </c>
      <c r="D110" s="976">
        <f t="shared" si="8"/>
        <v>50</v>
      </c>
      <c r="E110" s="975">
        <f t="shared" si="6"/>
        <v>150000</v>
      </c>
      <c r="F110" s="735"/>
      <c r="G110" s="727"/>
      <c r="H110" s="736"/>
      <c r="I110" s="734"/>
      <c r="J110" s="734"/>
      <c r="K110" s="734"/>
      <c r="L110" s="734"/>
      <c r="M110" s="734"/>
      <c r="N110" s="723"/>
      <c r="O110" s="723"/>
      <c r="P110" s="723"/>
      <c r="Q110" s="723"/>
    </row>
    <row r="111" spans="1:17" ht="27.75" customHeight="1" x14ac:dyDescent="0.25">
      <c r="A111" s="726" t="s">
        <v>1094</v>
      </c>
      <c r="B111" s="725" t="s">
        <v>658</v>
      </c>
      <c r="C111" s="750">
        <v>30</v>
      </c>
      <c r="D111" s="976">
        <f t="shared" si="8"/>
        <v>10</v>
      </c>
      <c r="E111" s="975">
        <f t="shared" si="6"/>
        <v>30000</v>
      </c>
      <c r="F111" s="735"/>
      <c r="G111" s="727"/>
      <c r="H111" s="736"/>
      <c r="I111" s="734"/>
      <c r="J111" s="734"/>
      <c r="K111" s="734"/>
      <c r="L111" s="734"/>
      <c r="M111" s="734"/>
      <c r="N111" s="723"/>
      <c r="O111" s="723"/>
      <c r="P111" s="723"/>
      <c r="Q111" s="723"/>
    </row>
    <row r="112" spans="1:17" ht="27.75" customHeight="1" x14ac:dyDescent="0.25">
      <c r="A112" s="726" t="s">
        <v>1095</v>
      </c>
      <c r="B112" s="725" t="s">
        <v>658</v>
      </c>
      <c r="C112" s="750">
        <v>135</v>
      </c>
      <c r="D112" s="976">
        <f t="shared" si="8"/>
        <v>45</v>
      </c>
      <c r="E112" s="975">
        <f t="shared" si="6"/>
        <v>135000</v>
      </c>
      <c r="F112" s="735"/>
      <c r="G112" s="727"/>
      <c r="H112" s="736"/>
      <c r="I112" s="734"/>
      <c r="J112" s="734"/>
      <c r="K112" s="734"/>
      <c r="L112" s="734"/>
      <c r="M112" s="734"/>
      <c r="N112" s="723"/>
      <c r="O112" s="723"/>
      <c r="P112" s="723"/>
      <c r="Q112" s="723"/>
    </row>
    <row r="113" spans="1:17" ht="27.75" customHeight="1" x14ac:dyDescent="0.25">
      <c r="A113" s="726" t="s">
        <v>1096</v>
      </c>
      <c r="B113" s="725" t="s">
        <v>658</v>
      </c>
      <c r="C113" s="750">
        <v>30</v>
      </c>
      <c r="D113" s="976">
        <f t="shared" si="8"/>
        <v>10</v>
      </c>
      <c r="E113" s="975">
        <f t="shared" si="6"/>
        <v>30000</v>
      </c>
      <c r="F113" s="735"/>
      <c r="G113" s="727"/>
      <c r="H113" s="736"/>
      <c r="I113" s="734"/>
      <c r="J113" s="734"/>
      <c r="K113" s="734"/>
      <c r="L113" s="734"/>
      <c r="M113" s="734"/>
      <c r="N113" s="723"/>
      <c r="O113" s="723"/>
      <c r="P113" s="723"/>
      <c r="Q113" s="723"/>
    </row>
    <row r="114" spans="1:17" ht="27.75" customHeight="1" x14ac:dyDescent="0.25">
      <c r="A114" s="726" t="s">
        <v>1097</v>
      </c>
      <c r="B114" s="725" t="s">
        <v>658</v>
      </c>
      <c r="C114" s="750">
        <v>90</v>
      </c>
      <c r="D114" s="976">
        <f t="shared" si="8"/>
        <v>30</v>
      </c>
      <c r="E114" s="975">
        <f t="shared" si="6"/>
        <v>90000</v>
      </c>
      <c r="F114" s="735"/>
      <c r="G114" s="727"/>
      <c r="H114" s="736"/>
      <c r="I114" s="734"/>
      <c r="J114" s="734"/>
      <c r="K114" s="734"/>
      <c r="L114" s="734"/>
      <c r="M114" s="734"/>
      <c r="N114" s="723"/>
      <c r="O114" s="723"/>
      <c r="P114" s="723"/>
      <c r="Q114" s="723"/>
    </row>
    <row r="115" spans="1:17" ht="27.75" customHeight="1" x14ac:dyDescent="0.25">
      <c r="A115" s="726" t="s">
        <v>1098</v>
      </c>
      <c r="B115" s="725" t="s">
        <v>658</v>
      </c>
      <c r="C115" s="750">
        <v>15</v>
      </c>
      <c r="D115" s="976">
        <f t="shared" si="8"/>
        <v>5</v>
      </c>
      <c r="E115" s="975">
        <f t="shared" si="6"/>
        <v>15000</v>
      </c>
      <c r="F115" s="735"/>
      <c r="G115" s="727"/>
      <c r="H115" s="736"/>
      <c r="I115" s="734"/>
      <c r="J115" s="734"/>
      <c r="K115" s="734"/>
      <c r="L115" s="734"/>
      <c r="M115" s="734"/>
      <c r="N115" s="723"/>
      <c r="O115" s="723"/>
      <c r="P115" s="723"/>
      <c r="Q115" s="723"/>
    </row>
    <row r="116" spans="1:17" ht="27.75" customHeight="1" x14ac:dyDescent="0.25">
      <c r="A116" s="726" t="s">
        <v>1099</v>
      </c>
      <c r="B116" s="725" t="s">
        <v>658</v>
      </c>
      <c r="C116" s="750">
        <v>55</v>
      </c>
      <c r="D116" s="976">
        <f t="shared" si="8"/>
        <v>18.333333333333332</v>
      </c>
      <c r="E116" s="975">
        <f t="shared" si="6"/>
        <v>55000</v>
      </c>
      <c r="F116" s="735"/>
      <c r="G116" s="727"/>
      <c r="H116" s="736"/>
      <c r="I116" s="734"/>
      <c r="J116" s="734"/>
      <c r="K116" s="734"/>
      <c r="L116" s="734"/>
      <c r="M116" s="734"/>
      <c r="N116" s="723"/>
      <c r="O116" s="723"/>
      <c r="P116" s="723"/>
      <c r="Q116" s="723"/>
    </row>
    <row r="117" spans="1:17" ht="27.75" customHeight="1" x14ac:dyDescent="0.25">
      <c r="A117" s="726" t="s">
        <v>1100</v>
      </c>
      <c r="B117" s="725" t="s">
        <v>658</v>
      </c>
      <c r="C117" s="750">
        <v>80</v>
      </c>
      <c r="D117" s="976">
        <f t="shared" si="8"/>
        <v>26.666666666666668</v>
      </c>
      <c r="E117" s="975">
        <f t="shared" si="6"/>
        <v>80000</v>
      </c>
      <c r="F117" s="735"/>
      <c r="G117" s="727"/>
      <c r="H117" s="736"/>
      <c r="I117" s="734"/>
      <c r="J117" s="734"/>
      <c r="K117" s="734"/>
      <c r="L117" s="734"/>
      <c r="M117" s="734"/>
      <c r="N117" s="723"/>
      <c r="O117" s="723"/>
      <c r="P117" s="723"/>
      <c r="Q117" s="723"/>
    </row>
    <row r="118" spans="1:17" ht="27.75" customHeight="1" x14ac:dyDescent="0.25">
      <c r="A118" s="726" t="s">
        <v>1101</v>
      </c>
      <c r="B118" s="725" t="s">
        <v>658</v>
      </c>
      <c r="C118" s="750">
        <v>90</v>
      </c>
      <c r="D118" s="976">
        <f t="shared" si="8"/>
        <v>30</v>
      </c>
      <c r="E118" s="975">
        <f t="shared" si="6"/>
        <v>90000</v>
      </c>
      <c r="F118" s="735"/>
      <c r="G118" s="739"/>
      <c r="H118" s="736"/>
      <c r="I118" s="736"/>
      <c r="J118" s="736"/>
      <c r="K118" s="736"/>
      <c r="L118" s="736"/>
      <c r="M118" s="736"/>
      <c r="N118" s="723"/>
      <c r="O118" s="723"/>
      <c r="P118" s="724"/>
      <c r="Q118" s="723"/>
    </row>
    <row r="119" spans="1:17" ht="27.75" customHeight="1" x14ac:dyDescent="0.25">
      <c r="A119" s="726" t="s">
        <v>1102</v>
      </c>
      <c r="B119" s="725" t="s">
        <v>658</v>
      </c>
      <c r="C119" s="750">
        <v>20</v>
      </c>
      <c r="D119" s="976">
        <f t="shared" si="8"/>
        <v>6.666666666666667</v>
      </c>
      <c r="E119" s="975">
        <f t="shared" si="6"/>
        <v>20000</v>
      </c>
      <c r="F119" s="735"/>
      <c r="G119" s="727"/>
      <c r="H119" s="736"/>
      <c r="I119" s="734"/>
      <c r="J119" s="734"/>
      <c r="K119" s="734"/>
      <c r="L119" s="734"/>
      <c r="M119" s="734"/>
      <c r="N119" s="723"/>
      <c r="O119" s="723"/>
      <c r="P119" s="723"/>
      <c r="Q119" s="723"/>
    </row>
    <row r="120" spans="1:17" ht="27.75" customHeight="1" x14ac:dyDescent="0.25">
      <c r="A120" s="726" t="s">
        <v>1103</v>
      </c>
      <c r="B120" s="725" t="s">
        <v>658</v>
      </c>
      <c r="C120" s="750">
        <v>70</v>
      </c>
      <c r="D120" s="976">
        <f t="shared" si="8"/>
        <v>23.333333333333332</v>
      </c>
      <c r="E120" s="975">
        <f t="shared" si="6"/>
        <v>70000</v>
      </c>
      <c r="F120" s="735"/>
      <c r="G120" s="727"/>
      <c r="H120" s="736"/>
      <c r="I120" s="734"/>
      <c r="J120" s="734"/>
      <c r="K120" s="734"/>
      <c r="L120" s="734"/>
      <c r="M120" s="734"/>
      <c r="N120" s="723"/>
      <c r="O120" s="723"/>
      <c r="P120" s="723"/>
      <c r="Q120" s="723"/>
    </row>
    <row r="121" spans="1:17" ht="27.75" customHeight="1" x14ac:dyDescent="0.25">
      <c r="A121" s="720" t="s">
        <v>1104</v>
      </c>
      <c r="B121" s="725"/>
      <c r="C121" s="750"/>
      <c r="D121" s="976">
        <f t="shared" si="8"/>
        <v>0</v>
      </c>
      <c r="E121" s="975">
        <f t="shared" si="6"/>
        <v>0</v>
      </c>
      <c r="F121" s="735"/>
      <c r="G121" s="727"/>
      <c r="H121" s="736"/>
      <c r="I121" s="734"/>
      <c r="J121" s="734"/>
      <c r="K121" s="734"/>
      <c r="L121" s="734"/>
      <c r="M121" s="734"/>
      <c r="N121" s="723"/>
      <c r="O121" s="723"/>
      <c r="P121" s="723"/>
      <c r="Q121" s="723"/>
    </row>
    <row r="122" spans="1:17" ht="27.75" customHeight="1" x14ac:dyDescent="0.25">
      <c r="A122" s="726" t="s">
        <v>1105</v>
      </c>
      <c r="B122" s="725" t="s">
        <v>658</v>
      </c>
      <c r="C122" s="750">
        <v>12</v>
      </c>
      <c r="D122" s="976">
        <f t="shared" si="8"/>
        <v>4</v>
      </c>
      <c r="E122" s="975">
        <f t="shared" si="6"/>
        <v>12000</v>
      </c>
      <c r="F122" s="735"/>
      <c r="G122" s="727"/>
      <c r="H122" s="736"/>
      <c r="I122" s="734"/>
      <c r="J122" s="734"/>
      <c r="K122" s="734"/>
      <c r="L122" s="734"/>
      <c r="M122" s="734"/>
      <c r="N122" s="723"/>
      <c r="O122" s="723"/>
      <c r="P122" s="723"/>
      <c r="Q122" s="723"/>
    </row>
    <row r="123" spans="1:17" ht="27.75" customHeight="1" x14ac:dyDescent="0.25">
      <c r="A123" s="726" t="s">
        <v>1106</v>
      </c>
      <c r="B123" s="725" t="s">
        <v>658</v>
      </c>
      <c r="C123" s="750">
        <v>45</v>
      </c>
      <c r="D123" s="715">
        <v>9.9600000000000009</v>
      </c>
      <c r="E123" s="975">
        <f t="shared" si="6"/>
        <v>45000</v>
      </c>
      <c r="F123" s="735"/>
      <c r="G123" s="727"/>
      <c r="H123" s="736"/>
      <c r="I123" s="734"/>
      <c r="J123" s="734"/>
      <c r="K123" s="734"/>
      <c r="L123" s="734"/>
      <c r="M123" s="734"/>
      <c r="N123" s="723"/>
      <c r="O123" s="723"/>
      <c r="P123" s="723"/>
      <c r="Q123" s="723"/>
    </row>
    <row r="124" spans="1:17" ht="27.75" customHeight="1" x14ac:dyDescent="0.25">
      <c r="A124" s="726" t="s">
        <v>1107</v>
      </c>
      <c r="B124" s="725" t="s">
        <v>658</v>
      </c>
      <c r="C124" s="750">
        <v>12</v>
      </c>
      <c r="D124" s="976">
        <f>C124/3</f>
        <v>4</v>
      </c>
      <c r="E124" s="975">
        <f t="shared" si="6"/>
        <v>12000</v>
      </c>
      <c r="F124" s="735"/>
      <c r="G124" s="727"/>
      <c r="H124" s="736"/>
      <c r="I124" s="734"/>
      <c r="J124" s="734"/>
      <c r="K124" s="734"/>
      <c r="L124" s="734"/>
      <c r="M124" s="734"/>
      <c r="N124" s="723"/>
      <c r="O124" s="723"/>
      <c r="P124" s="723"/>
      <c r="Q124" s="723"/>
    </row>
    <row r="125" spans="1:17" ht="27.75" customHeight="1" x14ac:dyDescent="0.25">
      <c r="A125" s="726" t="s">
        <v>1108</v>
      </c>
      <c r="B125" s="725" t="s">
        <v>658</v>
      </c>
      <c r="C125" s="750">
        <v>95</v>
      </c>
      <c r="D125" s="715">
        <v>30.47</v>
      </c>
      <c r="E125" s="975">
        <f t="shared" si="6"/>
        <v>95000</v>
      </c>
      <c r="F125" s="735"/>
      <c r="G125" s="727"/>
      <c r="H125" s="736"/>
      <c r="I125" s="734"/>
      <c r="J125" s="734"/>
      <c r="K125" s="734"/>
      <c r="L125" s="734"/>
      <c r="M125" s="734"/>
      <c r="N125" s="723"/>
      <c r="O125" s="723"/>
      <c r="P125" s="723"/>
      <c r="Q125" s="723"/>
    </row>
    <row r="126" spans="1:17" ht="27.75" customHeight="1" x14ac:dyDescent="0.25">
      <c r="A126" s="726" t="s">
        <v>1109</v>
      </c>
      <c r="B126" s="725" t="s">
        <v>658</v>
      </c>
      <c r="C126" s="750">
        <v>70</v>
      </c>
      <c r="D126" s="976">
        <f>C126/3</f>
        <v>23.333333333333332</v>
      </c>
      <c r="E126" s="975">
        <f t="shared" si="6"/>
        <v>70000</v>
      </c>
      <c r="F126" s="735"/>
      <c r="G126" s="727"/>
      <c r="H126" s="736"/>
      <c r="I126" s="734"/>
      <c r="J126" s="734"/>
      <c r="K126" s="734"/>
      <c r="L126" s="734"/>
      <c r="M126" s="734"/>
      <c r="N126" s="723"/>
      <c r="O126" s="723"/>
      <c r="P126" s="723"/>
      <c r="Q126" s="723"/>
    </row>
    <row r="127" spans="1:17" ht="27.75" customHeight="1" x14ac:dyDescent="0.25">
      <c r="A127" s="726" t="s">
        <v>1110</v>
      </c>
      <c r="B127" s="725" t="s">
        <v>658</v>
      </c>
      <c r="C127" s="750">
        <v>200</v>
      </c>
      <c r="D127" s="976">
        <f>C127/3</f>
        <v>66.666666666666671</v>
      </c>
      <c r="E127" s="975">
        <f t="shared" si="6"/>
        <v>200000</v>
      </c>
      <c r="F127" s="735"/>
      <c r="G127" s="727"/>
      <c r="H127" s="736"/>
      <c r="I127" s="734"/>
      <c r="J127" s="734"/>
      <c r="K127" s="734"/>
      <c r="L127" s="734"/>
      <c r="M127" s="734"/>
      <c r="N127" s="723"/>
      <c r="O127" s="723"/>
      <c r="P127" s="723"/>
      <c r="Q127" s="723"/>
    </row>
    <row r="128" spans="1:17" ht="27.75" customHeight="1" x14ac:dyDescent="0.25">
      <c r="A128" s="726" t="s">
        <v>1111</v>
      </c>
      <c r="B128" s="725" t="s">
        <v>658</v>
      </c>
      <c r="C128" s="750">
        <v>165</v>
      </c>
      <c r="D128" s="715">
        <v>55</v>
      </c>
      <c r="E128" s="975">
        <f t="shared" si="6"/>
        <v>165000</v>
      </c>
      <c r="F128" s="735"/>
      <c r="G128" s="727"/>
      <c r="H128" s="736"/>
      <c r="I128" s="734"/>
      <c r="J128" s="734"/>
      <c r="K128" s="734"/>
      <c r="L128" s="734"/>
      <c r="M128" s="734"/>
      <c r="N128" s="723"/>
      <c r="O128" s="723"/>
      <c r="P128" s="723"/>
      <c r="Q128" s="723"/>
    </row>
    <row r="129" spans="1:17" ht="27.75" customHeight="1" x14ac:dyDescent="0.25">
      <c r="A129" s="726" t="s">
        <v>809</v>
      </c>
      <c r="B129" s="725" t="s">
        <v>658</v>
      </c>
      <c r="C129" s="750">
        <v>16</v>
      </c>
      <c r="D129" s="976">
        <f>C129/3</f>
        <v>5.333333333333333</v>
      </c>
      <c r="E129" s="975">
        <f t="shared" si="6"/>
        <v>16000</v>
      </c>
      <c r="F129" s="735"/>
      <c r="G129" s="727"/>
      <c r="H129" s="736"/>
      <c r="I129" s="734"/>
      <c r="J129" s="734"/>
      <c r="K129" s="734"/>
      <c r="L129" s="734"/>
      <c r="M129" s="734"/>
      <c r="N129" s="723"/>
      <c r="O129" s="723"/>
      <c r="P129" s="723"/>
      <c r="Q129" s="723"/>
    </row>
    <row r="130" spans="1:17" ht="27.75" customHeight="1" x14ac:dyDescent="0.25">
      <c r="A130" s="726" t="s">
        <v>1112</v>
      </c>
      <c r="B130" s="725" t="s">
        <v>658</v>
      </c>
      <c r="C130" s="750">
        <v>64</v>
      </c>
      <c r="D130" s="976">
        <f>C130/3</f>
        <v>21.333333333333332</v>
      </c>
      <c r="E130" s="975">
        <f t="shared" si="6"/>
        <v>64000</v>
      </c>
      <c r="F130" s="735"/>
      <c r="G130" s="727"/>
      <c r="H130" s="736"/>
      <c r="I130" s="734"/>
      <c r="J130" s="734"/>
      <c r="K130" s="734"/>
      <c r="L130" s="734"/>
      <c r="M130" s="734"/>
      <c r="N130" s="723"/>
      <c r="O130" s="723"/>
      <c r="P130" s="723"/>
      <c r="Q130" s="723"/>
    </row>
    <row r="131" spans="1:17" ht="27.75" customHeight="1" x14ac:dyDescent="0.25">
      <c r="A131" s="726" t="s">
        <v>1113</v>
      </c>
      <c r="B131" s="725" t="s">
        <v>658</v>
      </c>
      <c r="C131" s="750">
        <v>20</v>
      </c>
      <c r="D131" s="715">
        <v>5.67</v>
      </c>
      <c r="E131" s="975">
        <f t="shared" si="6"/>
        <v>20000</v>
      </c>
      <c r="F131" s="735"/>
      <c r="G131" s="727"/>
      <c r="H131" s="736"/>
      <c r="I131" s="734"/>
      <c r="J131" s="734"/>
      <c r="K131" s="734"/>
      <c r="L131" s="734"/>
      <c r="M131" s="734"/>
      <c r="N131" s="723"/>
      <c r="O131" s="723"/>
      <c r="P131" s="723"/>
      <c r="Q131" s="723"/>
    </row>
    <row r="132" spans="1:17" ht="27.75" customHeight="1" x14ac:dyDescent="0.25">
      <c r="A132" s="726" t="s">
        <v>1114</v>
      </c>
      <c r="B132" s="725" t="s">
        <v>658</v>
      </c>
      <c r="C132" s="750">
        <v>10</v>
      </c>
      <c r="D132" s="976">
        <f t="shared" ref="D132:D137" si="9">C132/3</f>
        <v>3.3333333333333335</v>
      </c>
      <c r="E132" s="975">
        <f t="shared" si="6"/>
        <v>10000</v>
      </c>
      <c r="F132" s="735"/>
      <c r="G132" s="727"/>
      <c r="H132" s="736"/>
      <c r="I132" s="734"/>
      <c r="J132" s="734"/>
      <c r="K132" s="734"/>
      <c r="L132" s="734"/>
      <c r="M132" s="734"/>
      <c r="N132" s="723"/>
      <c r="O132" s="723"/>
      <c r="P132" s="723"/>
      <c r="Q132" s="723"/>
    </row>
    <row r="133" spans="1:17" ht="27.75" customHeight="1" x14ac:dyDescent="0.25">
      <c r="A133" s="726" t="s">
        <v>1115</v>
      </c>
      <c r="B133" s="725" t="s">
        <v>658</v>
      </c>
      <c r="C133" s="750">
        <v>200</v>
      </c>
      <c r="D133" s="976">
        <f t="shared" si="9"/>
        <v>66.666666666666671</v>
      </c>
      <c r="E133" s="975">
        <f t="shared" si="6"/>
        <v>200000</v>
      </c>
      <c r="F133" s="735"/>
      <c r="G133" s="727"/>
      <c r="H133" s="736"/>
      <c r="I133" s="734"/>
      <c r="J133" s="734"/>
      <c r="K133" s="734"/>
      <c r="L133" s="734"/>
      <c r="M133" s="734"/>
      <c r="N133" s="723"/>
      <c r="O133" s="723"/>
      <c r="P133" s="723"/>
      <c r="Q133" s="723"/>
    </row>
    <row r="134" spans="1:17" ht="27.75" customHeight="1" x14ac:dyDescent="0.25">
      <c r="A134" s="720" t="s">
        <v>816</v>
      </c>
      <c r="B134" s="726"/>
      <c r="C134" s="750"/>
      <c r="D134" s="976">
        <f t="shared" si="9"/>
        <v>0</v>
      </c>
      <c r="E134" s="975">
        <f t="shared" si="6"/>
        <v>0</v>
      </c>
      <c r="F134" s="735"/>
      <c r="G134" s="727"/>
      <c r="H134" s="736"/>
      <c r="I134" s="734"/>
      <c r="J134" s="734"/>
      <c r="K134" s="734"/>
      <c r="L134" s="734"/>
      <c r="M134" s="734"/>
      <c r="N134" s="723"/>
      <c r="O134" s="723"/>
      <c r="P134" s="723"/>
      <c r="Q134" s="723"/>
    </row>
    <row r="135" spans="1:17" ht="27.75" customHeight="1" x14ac:dyDescent="0.25">
      <c r="A135" s="726" t="s">
        <v>1116</v>
      </c>
      <c r="B135" s="725" t="s">
        <v>658</v>
      </c>
      <c r="C135" s="750">
        <v>5</v>
      </c>
      <c r="D135" s="976">
        <f t="shared" si="9"/>
        <v>1.6666666666666667</v>
      </c>
      <c r="E135" s="975">
        <f t="shared" si="6"/>
        <v>5000</v>
      </c>
      <c r="F135" s="735"/>
      <c r="G135" s="727"/>
      <c r="H135" s="736"/>
      <c r="I135" s="734"/>
      <c r="J135" s="734"/>
      <c r="K135" s="734"/>
      <c r="L135" s="734"/>
      <c r="M135" s="734"/>
      <c r="N135" s="723"/>
      <c r="O135" s="723"/>
      <c r="P135" s="723"/>
      <c r="Q135" s="723"/>
    </row>
    <row r="136" spans="1:17" ht="27.75" customHeight="1" x14ac:dyDescent="0.25">
      <c r="A136" s="726" t="s">
        <v>826</v>
      </c>
      <c r="B136" s="725" t="s">
        <v>658</v>
      </c>
      <c r="C136" s="750">
        <v>5</v>
      </c>
      <c r="D136" s="976">
        <f t="shared" si="9"/>
        <v>1.6666666666666667</v>
      </c>
      <c r="E136" s="975">
        <f t="shared" ref="E136:E199" si="10">C136*1000</f>
        <v>5000</v>
      </c>
      <c r="F136" s="735"/>
      <c r="G136" s="727"/>
      <c r="H136" s="736"/>
      <c r="I136" s="734"/>
      <c r="J136" s="734"/>
      <c r="K136" s="734"/>
      <c r="L136" s="734"/>
      <c r="M136" s="734"/>
      <c r="N136" s="723"/>
      <c r="O136" s="723"/>
      <c r="P136" s="723"/>
      <c r="Q136" s="723"/>
    </row>
    <row r="137" spans="1:17" ht="27.75" customHeight="1" x14ac:dyDescent="0.25">
      <c r="A137" s="726" t="s">
        <v>827</v>
      </c>
      <c r="B137" s="725" t="s">
        <v>658</v>
      </c>
      <c r="C137" s="750">
        <v>2</v>
      </c>
      <c r="D137" s="976">
        <f t="shared" si="9"/>
        <v>0.66666666666666663</v>
      </c>
      <c r="E137" s="975">
        <f t="shared" si="10"/>
        <v>2000</v>
      </c>
      <c r="F137" s="735"/>
      <c r="G137" s="727"/>
      <c r="H137" s="736"/>
      <c r="I137" s="734"/>
      <c r="J137" s="734"/>
      <c r="K137" s="734"/>
      <c r="L137" s="734"/>
      <c r="M137" s="734"/>
      <c r="N137" s="723"/>
      <c r="O137" s="723"/>
      <c r="P137" s="723"/>
      <c r="Q137" s="723"/>
    </row>
    <row r="138" spans="1:17" ht="27.75" customHeight="1" x14ac:dyDescent="0.25">
      <c r="A138" s="726" t="s">
        <v>1117</v>
      </c>
      <c r="B138" s="725" t="s">
        <v>658</v>
      </c>
      <c r="C138" s="750">
        <v>15</v>
      </c>
      <c r="D138" s="715">
        <v>3.38</v>
      </c>
      <c r="E138" s="975">
        <f t="shared" si="10"/>
        <v>15000</v>
      </c>
      <c r="F138" s="735"/>
      <c r="G138" s="727"/>
      <c r="H138" s="736"/>
      <c r="I138" s="734"/>
      <c r="J138" s="734"/>
      <c r="K138" s="734"/>
      <c r="L138" s="734"/>
      <c r="M138" s="734"/>
      <c r="N138" s="723"/>
      <c r="O138" s="723"/>
      <c r="P138" s="723"/>
      <c r="Q138" s="723"/>
    </row>
    <row r="139" spans="1:17" ht="27.75" customHeight="1" x14ac:dyDescent="0.25">
      <c r="A139" s="726" t="s">
        <v>1118</v>
      </c>
      <c r="B139" s="725" t="s">
        <v>658</v>
      </c>
      <c r="C139" s="750">
        <v>15</v>
      </c>
      <c r="D139" s="976">
        <f>C139/3</f>
        <v>5</v>
      </c>
      <c r="E139" s="975">
        <f t="shared" si="10"/>
        <v>15000</v>
      </c>
      <c r="F139" s="735"/>
      <c r="G139" s="739"/>
      <c r="H139" s="736"/>
      <c r="I139" s="736"/>
      <c r="J139" s="736"/>
      <c r="K139" s="736"/>
      <c r="L139" s="736"/>
      <c r="M139" s="736"/>
      <c r="N139" s="723"/>
      <c r="O139" s="723"/>
      <c r="P139" s="724"/>
      <c r="Q139" s="723"/>
    </row>
    <row r="140" spans="1:17" ht="27.75" customHeight="1" x14ac:dyDescent="0.25">
      <c r="A140" s="726" t="s">
        <v>1119</v>
      </c>
      <c r="B140" s="725" t="s">
        <v>658</v>
      </c>
      <c r="C140" s="750">
        <v>85</v>
      </c>
      <c r="D140" s="976">
        <f>C140/3</f>
        <v>28.333333333333332</v>
      </c>
      <c r="E140" s="975">
        <f t="shared" si="10"/>
        <v>85000</v>
      </c>
      <c r="F140" s="735"/>
      <c r="G140" s="727"/>
      <c r="H140" s="736"/>
      <c r="I140" s="734"/>
      <c r="J140" s="734"/>
      <c r="K140" s="734"/>
      <c r="L140" s="734"/>
      <c r="M140" s="734"/>
      <c r="N140" s="723"/>
      <c r="O140" s="723"/>
      <c r="P140" s="723"/>
      <c r="Q140" s="723"/>
    </row>
    <row r="141" spans="1:17" ht="27.75" customHeight="1" x14ac:dyDescent="0.25">
      <c r="A141" s="726" t="s">
        <v>1120</v>
      </c>
      <c r="B141" s="725" t="s">
        <v>658</v>
      </c>
      <c r="C141" s="750">
        <v>20</v>
      </c>
      <c r="D141" s="976">
        <f>C141/3</f>
        <v>6.666666666666667</v>
      </c>
      <c r="E141" s="975">
        <f t="shared" si="10"/>
        <v>20000</v>
      </c>
      <c r="F141" s="735"/>
      <c r="G141" s="727"/>
      <c r="H141" s="736"/>
      <c r="I141" s="734"/>
      <c r="J141" s="734"/>
      <c r="K141" s="734"/>
      <c r="L141" s="734"/>
      <c r="M141" s="734"/>
      <c r="N141" s="723"/>
      <c r="O141" s="723"/>
      <c r="P141" s="723"/>
      <c r="Q141" s="723"/>
    </row>
    <row r="142" spans="1:17" ht="27.75" customHeight="1" x14ac:dyDescent="0.25">
      <c r="A142" s="726" t="s">
        <v>1121</v>
      </c>
      <c r="B142" s="725" t="s">
        <v>658</v>
      </c>
      <c r="C142" s="750">
        <v>20</v>
      </c>
      <c r="D142" s="976">
        <f>C142/3</f>
        <v>6.666666666666667</v>
      </c>
      <c r="E142" s="975">
        <f t="shared" si="10"/>
        <v>20000</v>
      </c>
      <c r="F142" s="735"/>
      <c r="G142" s="727"/>
      <c r="H142" s="736"/>
      <c r="I142" s="734"/>
      <c r="J142" s="734"/>
      <c r="K142" s="734"/>
      <c r="L142" s="734"/>
      <c r="M142" s="734"/>
      <c r="N142" s="723"/>
      <c r="O142" s="723"/>
      <c r="P142" s="723"/>
      <c r="Q142" s="723"/>
    </row>
    <row r="143" spans="1:17" ht="27.75" customHeight="1" x14ac:dyDescent="0.25">
      <c r="A143" s="726" t="s">
        <v>954</v>
      </c>
      <c r="B143" s="725" t="s">
        <v>658</v>
      </c>
      <c r="C143" s="750">
        <v>1.5</v>
      </c>
      <c r="D143" s="715">
        <v>421.7</v>
      </c>
      <c r="E143" s="975">
        <f t="shared" si="10"/>
        <v>1500</v>
      </c>
      <c r="F143" s="735"/>
      <c r="G143" s="727"/>
      <c r="H143" s="736"/>
      <c r="I143" s="734"/>
      <c r="J143" s="734"/>
      <c r="K143" s="734"/>
      <c r="L143" s="734"/>
      <c r="M143" s="734"/>
      <c r="N143" s="723"/>
      <c r="O143" s="723"/>
      <c r="P143" s="723"/>
      <c r="Q143" s="723"/>
    </row>
    <row r="144" spans="1:17" ht="27.75" customHeight="1" x14ac:dyDescent="0.25">
      <c r="A144" s="726" t="s">
        <v>1122</v>
      </c>
      <c r="B144" s="725" t="s">
        <v>658</v>
      </c>
      <c r="C144" s="750">
        <v>30</v>
      </c>
      <c r="D144" s="976">
        <f t="shared" ref="D144:D156" si="11">C144/3</f>
        <v>10</v>
      </c>
      <c r="E144" s="975">
        <f t="shared" si="10"/>
        <v>30000</v>
      </c>
      <c r="F144" s="735"/>
      <c r="G144" s="727"/>
      <c r="H144" s="736"/>
      <c r="I144" s="734"/>
      <c r="J144" s="734"/>
      <c r="K144" s="734"/>
      <c r="L144" s="734"/>
      <c r="M144" s="734"/>
      <c r="N144" s="723"/>
      <c r="O144" s="723"/>
      <c r="P144" s="723"/>
      <c r="Q144" s="723"/>
    </row>
    <row r="145" spans="1:17" ht="27.75" customHeight="1" x14ac:dyDescent="0.25">
      <c r="A145" s="726" t="s">
        <v>1123</v>
      </c>
      <c r="B145" s="725" t="s">
        <v>658</v>
      </c>
      <c r="C145" s="750">
        <v>20</v>
      </c>
      <c r="D145" s="976">
        <f t="shared" si="11"/>
        <v>6.666666666666667</v>
      </c>
      <c r="E145" s="975">
        <f t="shared" si="10"/>
        <v>20000</v>
      </c>
      <c r="F145" s="735"/>
      <c r="G145" s="727"/>
      <c r="H145" s="736"/>
      <c r="I145" s="734"/>
      <c r="J145" s="734"/>
      <c r="K145" s="734"/>
      <c r="L145" s="734"/>
      <c r="M145" s="734"/>
      <c r="N145" s="723"/>
      <c r="O145" s="723"/>
      <c r="P145" s="723"/>
      <c r="Q145" s="723"/>
    </row>
    <row r="146" spans="1:17" ht="27.75" customHeight="1" x14ac:dyDescent="0.25">
      <c r="A146" s="726" t="s">
        <v>837</v>
      </c>
      <c r="B146" s="725" t="s">
        <v>658</v>
      </c>
      <c r="C146" s="750">
        <v>5</v>
      </c>
      <c r="D146" s="976">
        <f t="shared" si="11"/>
        <v>1.6666666666666667</v>
      </c>
      <c r="E146" s="975">
        <f t="shared" si="10"/>
        <v>5000</v>
      </c>
      <c r="F146" s="735"/>
      <c r="G146" s="727"/>
      <c r="H146" s="736"/>
      <c r="I146" s="734"/>
      <c r="J146" s="734"/>
      <c r="K146" s="734"/>
      <c r="L146" s="734"/>
      <c r="M146" s="734"/>
      <c r="N146" s="723"/>
      <c r="O146" s="723"/>
      <c r="P146" s="723"/>
      <c r="Q146" s="723"/>
    </row>
    <row r="147" spans="1:17" ht="27.75" customHeight="1" x14ac:dyDescent="0.25">
      <c r="A147" s="726" t="s">
        <v>838</v>
      </c>
      <c r="B147" s="725" t="s">
        <v>658</v>
      </c>
      <c r="C147" s="750">
        <v>5</v>
      </c>
      <c r="D147" s="976">
        <f t="shared" si="11"/>
        <v>1.6666666666666667</v>
      </c>
      <c r="E147" s="975">
        <f t="shared" si="10"/>
        <v>5000</v>
      </c>
      <c r="F147" s="735"/>
      <c r="G147" s="727"/>
      <c r="H147" s="736"/>
      <c r="I147" s="734"/>
      <c r="J147" s="734"/>
      <c r="K147" s="734"/>
      <c r="L147" s="734"/>
      <c r="M147" s="734"/>
      <c r="N147" s="723"/>
      <c r="O147" s="723"/>
      <c r="P147" s="723"/>
      <c r="Q147" s="723"/>
    </row>
    <row r="148" spans="1:17" ht="27.75" customHeight="1" x14ac:dyDescent="0.25">
      <c r="A148" s="726" t="s">
        <v>1124</v>
      </c>
      <c r="B148" s="725" t="s">
        <v>658</v>
      </c>
      <c r="C148" s="750">
        <v>15</v>
      </c>
      <c r="D148" s="976">
        <f t="shared" si="11"/>
        <v>5</v>
      </c>
      <c r="E148" s="975">
        <f t="shared" si="10"/>
        <v>15000</v>
      </c>
      <c r="F148" s="735"/>
      <c r="G148" s="727"/>
      <c r="H148" s="736"/>
      <c r="I148" s="734"/>
      <c r="J148" s="734"/>
      <c r="K148" s="734"/>
      <c r="L148" s="734"/>
      <c r="M148" s="734"/>
      <c r="N148" s="723"/>
      <c r="O148" s="723"/>
      <c r="P148" s="723"/>
      <c r="Q148" s="723"/>
    </row>
    <row r="149" spans="1:17" ht="27.75" customHeight="1" x14ac:dyDescent="0.25">
      <c r="A149" s="726" t="s">
        <v>1125</v>
      </c>
      <c r="B149" s="725" t="s">
        <v>658</v>
      </c>
      <c r="C149" s="750">
        <v>15</v>
      </c>
      <c r="D149" s="976">
        <f t="shared" si="11"/>
        <v>5</v>
      </c>
      <c r="E149" s="975">
        <f t="shared" si="10"/>
        <v>15000</v>
      </c>
      <c r="F149" s="735"/>
      <c r="G149" s="727"/>
      <c r="H149" s="736"/>
      <c r="I149" s="734"/>
      <c r="J149" s="734"/>
      <c r="K149" s="734"/>
      <c r="L149" s="734"/>
      <c r="M149" s="734"/>
      <c r="N149" s="723"/>
      <c r="O149" s="723"/>
      <c r="P149" s="723"/>
      <c r="Q149" s="723"/>
    </row>
    <row r="150" spans="1:17" ht="27.75" customHeight="1" x14ac:dyDescent="0.25">
      <c r="A150" s="726" t="s">
        <v>1126</v>
      </c>
      <c r="B150" s="725" t="s">
        <v>658</v>
      </c>
      <c r="C150" s="750">
        <v>20</v>
      </c>
      <c r="D150" s="976">
        <f t="shared" si="11"/>
        <v>6.666666666666667</v>
      </c>
      <c r="E150" s="975">
        <f t="shared" si="10"/>
        <v>20000</v>
      </c>
      <c r="F150" s="735"/>
      <c r="G150" s="727"/>
      <c r="H150" s="736"/>
      <c r="I150" s="734"/>
      <c r="J150" s="734"/>
      <c r="K150" s="734"/>
      <c r="L150" s="734"/>
      <c r="M150" s="734"/>
      <c r="N150" s="723"/>
      <c r="O150" s="723"/>
      <c r="P150" s="723"/>
      <c r="Q150" s="723"/>
    </row>
    <row r="151" spans="1:17" ht="27.75" customHeight="1" x14ac:dyDescent="0.25">
      <c r="A151" s="726" t="s">
        <v>1127</v>
      </c>
      <c r="B151" s="725" t="s">
        <v>658</v>
      </c>
      <c r="C151" s="750">
        <v>40</v>
      </c>
      <c r="D151" s="976">
        <f t="shared" si="11"/>
        <v>13.333333333333334</v>
      </c>
      <c r="E151" s="975">
        <f t="shared" si="10"/>
        <v>40000</v>
      </c>
      <c r="F151" s="735"/>
      <c r="G151" s="727"/>
      <c r="H151" s="736"/>
      <c r="I151" s="734"/>
      <c r="J151" s="734"/>
      <c r="K151" s="734"/>
      <c r="L151" s="734"/>
      <c r="M151" s="734"/>
      <c r="N151" s="723"/>
      <c r="O151" s="723"/>
      <c r="P151" s="723"/>
      <c r="Q151" s="723"/>
    </row>
    <row r="152" spans="1:17" ht="27.75" customHeight="1" x14ac:dyDescent="0.25">
      <c r="A152" s="726" t="s">
        <v>843</v>
      </c>
      <c r="B152" s="725" t="s">
        <v>658</v>
      </c>
      <c r="C152" s="750">
        <v>175</v>
      </c>
      <c r="D152" s="976">
        <f t="shared" si="11"/>
        <v>58.333333333333336</v>
      </c>
      <c r="E152" s="975">
        <f t="shared" si="10"/>
        <v>175000</v>
      </c>
    </row>
    <row r="153" spans="1:17" ht="27.75" customHeight="1" x14ac:dyDescent="0.25">
      <c r="A153" s="726" t="s">
        <v>844</v>
      </c>
      <c r="B153" s="725" t="s">
        <v>658</v>
      </c>
      <c r="C153" s="750">
        <v>85</v>
      </c>
      <c r="D153" s="976">
        <f t="shared" si="11"/>
        <v>28.333333333333332</v>
      </c>
      <c r="E153" s="975">
        <f t="shared" si="10"/>
        <v>85000</v>
      </c>
    </row>
    <row r="154" spans="1:17" ht="27.75" customHeight="1" x14ac:dyDescent="0.25">
      <c r="A154" s="726" t="s">
        <v>1128</v>
      </c>
      <c r="B154" s="725" t="s">
        <v>658</v>
      </c>
      <c r="C154" s="750">
        <v>80</v>
      </c>
      <c r="D154" s="976">
        <f t="shared" si="11"/>
        <v>26.666666666666668</v>
      </c>
      <c r="E154" s="975">
        <f t="shared" si="10"/>
        <v>80000</v>
      </c>
    </row>
    <row r="155" spans="1:17" ht="27.75" customHeight="1" x14ac:dyDescent="0.25">
      <c r="A155" s="726" t="s">
        <v>1129</v>
      </c>
      <c r="B155" s="725" t="s">
        <v>658</v>
      </c>
      <c r="C155" s="750">
        <v>2</v>
      </c>
      <c r="D155" s="976">
        <f t="shared" si="11"/>
        <v>0.66666666666666663</v>
      </c>
      <c r="E155" s="975">
        <f t="shared" si="10"/>
        <v>2000</v>
      </c>
    </row>
    <row r="156" spans="1:17" ht="27.75" customHeight="1" x14ac:dyDescent="0.25">
      <c r="A156" s="726" t="s">
        <v>848</v>
      </c>
      <c r="B156" s="725" t="s">
        <v>658</v>
      </c>
      <c r="C156" s="750">
        <v>2.25</v>
      </c>
      <c r="D156" s="976">
        <f t="shared" si="11"/>
        <v>0.75</v>
      </c>
      <c r="E156" s="975">
        <f t="shared" si="10"/>
        <v>2250</v>
      </c>
    </row>
    <row r="157" spans="1:17" ht="27.75" customHeight="1" x14ac:dyDescent="0.25">
      <c r="A157" s="726" t="s">
        <v>849</v>
      </c>
      <c r="B157" s="725" t="s">
        <v>658</v>
      </c>
      <c r="C157" s="750">
        <v>2</v>
      </c>
      <c r="D157" s="976">
        <f>E157/3</f>
        <v>666.66666666666663</v>
      </c>
      <c r="E157" s="975">
        <f t="shared" si="10"/>
        <v>2000</v>
      </c>
    </row>
    <row r="158" spans="1:17" ht="27.75" customHeight="1" x14ac:dyDescent="0.25">
      <c r="A158" s="726" t="s">
        <v>850</v>
      </c>
      <c r="B158" s="725" t="s">
        <v>658</v>
      </c>
      <c r="C158" s="750">
        <v>2</v>
      </c>
      <c r="D158" s="976">
        <f>E158/3</f>
        <v>666.66666666666663</v>
      </c>
      <c r="E158" s="975">
        <f t="shared" si="10"/>
        <v>2000</v>
      </c>
    </row>
    <row r="159" spans="1:17" ht="27.75" customHeight="1" x14ac:dyDescent="0.25">
      <c r="A159" s="726" t="s">
        <v>1130</v>
      </c>
      <c r="B159" s="725" t="s">
        <v>658</v>
      </c>
      <c r="C159" s="750">
        <v>2.95</v>
      </c>
      <c r="D159" s="976">
        <f t="shared" ref="D159:D173" si="12">E159/3</f>
        <v>983.33333333333337</v>
      </c>
      <c r="E159" s="975">
        <f t="shared" si="10"/>
        <v>2950</v>
      </c>
    </row>
    <row r="160" spans="1:17" ht="27.75" customHeight="1" x14ac:dyDescent="0.25">
      <c r="A160" s="726" t="s">
        <v>855</v>
      </c>
      <c r="B160" s="725" t="s">
        <v>658</v>
      </c>
      <c r="C160" s="750">
        <v>1.25</v>
      </c>
      <c r="D160" s="976">
        <f t="shared" si="12"/>
        <v>416.66666666666669</v>
      </c>
      <c r="E160" s="975">
        <f t="shared" si="10"/>
        <v>1250</v>
      </c>
    </row>
    <row r="161" spans="1:5" ht="27.75" customHeight="1" x14ac:dyDescent="0.25">
      <c r="A161" s="726" t="s">
        <v>856</v>
      </c>
      <c r="B161" s="725" t="s">
        <v>658</v>
      </c>
      <c r="C161" s="750">
        <v>1.8</v>
      </c>
      <c r="D161" s="976">
        <f t="shared" si="12"/>
        <v>600</v>
      </c>
      <c r="E161" s="975">
        <f t="shared" si="10"/>
        <v>1800</v>
      </c>
    </row>
    <row r="162" spans="1:5" ht="27.75" customHeight="1" x14ac:dyDescent="0.25">
      <c r="A162" s="726" t="s">
        <v>857</v>
      </c>
      <c r="B162" s="725" t="s">
        <v>658</v>
      </c>
      <c r="C162" s="750">
        <v>2.95</v>
      </c>
      <c r="D162" s="976">
        <f t="shared" si="12"/>
        <v>983.33333333333337</v>
      </c>
      <c r="E162" s="975">
        <f t="shared" si="10"/>
        <v>2950</v>
      </c>
    </row>
    <row r="163" spans="1:5" ht="27.75" customHeight="1" x14ac:dyDescent="0.25">
      <c r="A163" s="726" t="s">
        <v>858</v>
      </c>
      <c r="B163" s="725" t="s">
        <v>658</v>
      </c>
      <c r="C163" s="750">
        <v>2.95</v>
      </c>
      <c r="D163" s="976">
        <f t="shared" si="12"/>
        <v>983.33333333333337</v>
      </c>
      <c r="E163" s="975">
        <f t="shared" si="10"/>
        <v>2950</v>
      </c>
    </row>
    <row r="164" spans="1:5" ht="27.75" customHeight="1" x14ac:dyDescent="0.25">
      <c r="A164" s="726" t="s">
        <v>859</v>
      </c>
      <c r="B164" s="725" t="s">
        <v>658</v>
      </c>
      <c r="C164" s="750">
        <v>1.25</v>
      </c>
      <c r="D164" s="976">
        <f t="shared" si="12"/>
        <v>416.66666666666669</v>
      </c>
      <c r="E164" s="975">
        <f t="shared" si="10"/>
        <v>1250</v>
      </c>
    </row>
    <row r="165" spans="1:5" ht="27.75" customHeight="1" x14ac:dyDescent="0.25">
      <c r="A165" s="726" t="s">
        <v>1131</v>
      </c>
      <c r="B165" s="725" t="s">
        <v>658</v>
      </c>
      <c r="C165" s="750">
        <v>1.8</v>
      </c>
      <c r="D165" s="976">
        <f t="shared" si="12"/>
        <v>600</v>
      </c>
      <c r="E165" s="975">
        <f t="shared" si="10"/>
        <v>1800</v>
      </c>
    </row>
    <row r="166" spans="1:5" ht="27.75" customHeight="1" x14ac:dyDescent="0.25">
      <c r="A166" s="726" t="s">
        <v>853</v>
      </c>
      <c r="B166" s="725" t="s">
        <v>658</v>
      </c>
      <c r="C166" s="750">
        <v>1.25</v>
      </c>
      <c r="D166" s="976">
        <f t="shared" si="12"/>
        <v>416.66666666666669</v>
      </c>
      <c r="E166" s="975">
        <f t="shared" si="10"/>
        <v>1250</v>
      </c>
    </row>
    <row r="167" spans="1:5" ht="27.75" customHeight="1" x14ac:dyDescent="0.25">
      <c r="A167" s="726" t="s">
        <v>1132</v>
      </c>
      <c r="B167" s="725" t="s">
        <v>658</v>
      </c>
      <c r="C167" s="750">
        <v>1.6</v>
      </c>
      <c r="D167" s="976">
        <f t="shared" si="12"/>
        <v>533.33333333333337</v>
      </c>
      <c r="E167" s="975">
        <f t="shared" si="10"/>
        <v>1600</v>
      </c>
    </row>
    <row r="168" spans="1:5" ht="27.75" customHeight="1" x14ac:dyDescent="0.25">
      <c r="A168" s="726" t="s">
        <v>1133</v>
      </c>
      <c r="B168" s="725" t="s">
        <v>658</v>
      </c>
      <c r="C168" s="750">
        <v>1.5</v>
      </c>
      <c r="D168" s="976">
        <f t="shared" si="12"/>
        <v>500</v>
      </c>
      <c r="E168" s="975">
        <f t="shared" si="10"/>
        <v>1500</v>
      </c>
    </row>
    <row r="169" spans="1:5" ht="27.75" customHeight="1" x14ac:dyDescent="0.25">
      <c r="A169" s="726" t="s">
        <v>861</v>
      </c>
      <c r="B169" s="725" t="s">
        <v>658</v>
      </c>
      <c r="C169" s="750">
        <v>2</v>
      </c>
      <c r="D169" s="976">
        <f t="shared" si="12"/>
        <v>666.66666666666663</v>
      </c>
      <c r="E169" s="975">
        <f t="shared" si="10"/>
        <v>2000</v>
      </c>
    </row>
    <row r="170" spans="1:5" ht="27.75" customHeight="1" x14ac:dyDescent="0.25">
      <c r="A170" s="726" t="s">
        <v>862</v>
      </c>
      <c r="B170" s="725" t="s">
        <v>658</v>
      </c>
      <c r="C170" s="750">
        <v>2</v>
      </c>
      <c r="D170" s="976">
        <f t="shared" si="12"/>
        <v>666.66666666666663</v>
      </c>
      <c r="E170" s="975">
        <f t="shared" si="10"/>
        <v>2000</v>
      </c>
    </row>
    <row r="171" spans="1:5" ht="27.75" customHeight="1" x14ac:dyDescent="0.25">
      <c r="A171" s="726" t="s">
        <v>863</v>
      </c>
      <c r="B171" s="725" t="s">
        <v>658</v>
      </c>
      <c r="C171" s="750">
        <v>1.25</v>
      </c>
      <c r="D171" s="976">
        <f t="shared" si="12"/>
        <v>416.66666666666669</v>
      </c>
      <c r="E171" s="975">
        <f t="shared" si="10"/>
        <v>1250</v>
      </c>
    </row>
    <row r="172" spans="1:5" ht="27.75" customHeight="1" x14ac:dyDescent="0.25">
      <c r="A172" s="726" t="s">
        <v>864</v>
      </c>
      <c r="B172" s="725" t="s">
        <v>658</v>
      </c>
      <c r="C172" s="750">
        <v>1.5</v>
      </c>
      <c r="D172" s="976">
        <f t="shared" si="12"/>
        <v>500</v>
      </c>
      <c r="E172" s="975">
        <f t="shared" si="10"/>
        <v>1500</v>
      </c>
    </row>
    <row r="173" spans="1:5" ht="27.75" customHeight="1" x14ac:dyDescent="0.25">
      <c r="A173" s="726" t="s">
        <v>1134</v>
      </c>
      <c r="B173" s="725" t="s">
        <v>658</v>
      </c>
      <c r="C173" s="750">
        <v>1.5</v>
      </c>
      <c r="D173" s="976">
        <f t="shared" si="12"/>
        <v>500</v>
      </c>
      <c r="E173" s="975">
        <f t="shared" si="10"/>
        <v>1500</v>
      </c>
    </row>
    <row r="174" spans="1:5" ht="27.75" customHeight="1" x14ac:dyDescent="0.25">
      <c r="A174" s="726" t="s">
        <v>1135</v>
      </c>
      <c r="B174" s="725" t="s">
        <v>658</v>
      </c>
      <c r="C174" s="750">
        <v>1.2</v>
      </c>
      <c r="D174" s="715">
        <v>313.69</v>
      </c>
      <c r="E174" s="975">
        <f t="shared" si="10"/>
        <v>1200</v>
      </c>
    </row>
    <row r="175" spans="1:5" ht="27.75" customHeight="1" x14ac:dyDescent="0.25">
      <c r="A175" s="726" t="s">
        <v>1136</v>
      </c>
      <c r="B175" s="725" t="s">
        <v>658</v>
      </c>
      <c r="C175" s="750">
        <v>1.5</v>
      </c>
      <c r="D175" s="976">
        <f t="shared" ref="D175:D189" si="13">C175/3</f>
        <v>0.5</v>
      </c>
      <c r="E175" s="975">
        <f t="shared" si="10"/>
        <v>1500</v>
      </c>
    </row>
    <row r="176" spans="1:5" ht="27.75" customHeight="1" x14ac:dyDescent="0.25">
      <c r="A176" s="726" t="s">
        <v>1137</v>
      </c>
      <c r="B176" s="725" t="s">
        <v>658</v>
      </c>
      <c r="C176" s="750">
        <v>1.5</v>
      </c>
      <c r="D176" s="976">
        <f t="shared" si="13"/>
        <v>0.5</v>
      </c>
      <c r="E176" s="975">
        <f t="shared" si="10"/>
        <v>1500</v>
      </c>
    </row>
    <row r="177" spans="1:5" ht="27.75" customHeight="1" x14ac:dyDescent="0.25">
      <c r="A177" s="726" t="s">
        <v>866</v>
      </c>
      <c r="B177" s="725" t="s">
        <v>658</v>
      </c>
      <c r="C177" s="750">
        <v>1.25</v>
      </c>
      <c r="D177" s="976">
        <f>E177/3</f>
        <v>416.66666666666669</v>
      </c>
      <c r="E177" s="975">
        <f t="shared" si="10"/>
        <v>1250</v>
      </c>
    </row>
    <row r="178" spans="1:5" ht="27.75" customHeight="1" x14ac:dyDescent="0.25">
      <c r="A178" s="726" t="s">
        <v>1138</v>
      </c>
      <c r="B178" s="725" t="s">
        <v>658</v>
      </c>
      <c r="C178" s="750">
        <v>40</v>
      </c>
      <c r="D178" s="976">
        <f t="shared" si="13"/>
        <v>13.333333333333334</v>
      </c>
      <c r="E178" s="975">
        <f t="shared" si="10"/>
        <v>40000</v>
      </c>
    </row>
    <row r="179" spans="1:5" ht="27.75" customHeight="1" x14ac:dyDescent="0.25">
      <c r="A179" s="726" t="s">
        <v>868</v>
      </c>
      <c r="B179" s="725" t="s">
        <v>658</v>
      </c>
      <c r="C179" s="750">
        <v>40</v>
      </c>
      <c r="D179" s="976">
        <f t="shared" si="13"/>
        <v>13.333333333333334</v>
      </c>
      <c r="E179" s="975">
        <f t="shared" si="10"/>
        <v>40000</v>
      </c>
    </row>
    <row r="180" spans="1:5" ht="27.75" customHeight="1" x14ac:dyDescent="0.25">
      <c r="A180" s="726" t="s">
        <v>869</v>
      </c>
      <c r="B180" s="725" t="s">
        <v>658</v>
      </c>
      <c r="C180" s="750">
        <v>40</v>
      </c>
      <c r="D180" s="976">
        <f t="shared" si="13"/>
        <v>13.333333333333334</v>
      </c>
      <c r="E180" s="975">
        <f t="shared" si="10"/>
        <v>40000</v>
      </c>
    </row>
    <row r="181" spans="1:5" ht="27.75" customHeight="1" x14ac:dyDescent="0.25">
      <c r="A181" s="726" t="s">
        <v>1139</v>
      </c>
      <c r="B181" s="725" t="s">
        <v>658</v>
      </c>
      <c r="C181" s="750">
        <v>35</v>
      </c>
      <c r="D181" s="976">
        <f t="shared" si="13"/>
        <v>11.666666666666666</v>
      </c>
      <c r="E181" s="975">
        <f t="shared" si="10"/>
        <v>35000</v>
      </c>
    </row>
    <row r="182" spans="1:5" ht="27.75" customHeight="1" x14ac:dyDescent="0.25">
      <c r="A182" s="726" t="s">
        <v>1140</v>
      </c>
      <c r="B182" s="725" t="s">
        <v>658</v>
      </c>
      <c r="C182" s="750">
        <v>15</v>
      </c>
      <c r="D182" s="976">
        <f t="shared" si="13"/>
        <v>5</v>
      </c>
      <c r="E182" s="975">
        <f t="shared" si="10"/>
        <v>15000</v>
      </c>
    </row>
    <row r="183" spans="1:5" ht="27.75" customHeight="1" x14ac:dyDescent="0.25">
      <c r="A183" s="726" t="s">
        <v>1141</v>
      </c>
      <c r="B183" s="725" t="s">
        <v>658</v>
      </c>
      <c r="C183" s="750">
        <v>30</v>
      </c>
      <c r="D183" s="976">
        <f t="shared" si="13"/>
        <v>10</v>
      </c>
      <c r="E183" s="975">
        <f t="shared" si="10"/>
        <v>30000</v>
      </c>
    </row>
    <row r="184" spans="1:5" ht="27.75" customHeight="1" x14ac:dyDescent="0.25">
      <c r="A184" s="726" t="s">
        <v>1142</v>
      </c>
      <c r="B184" s="725" t="s">
        <v>658</v>
      </c>
      <c r="C184" s="750">
        <v>1</v>
      </c>
      <c r="D184" s="976">
        <f t="shared" si="13"/>
        <v>0.33333333333333331</v>
      </c>
      <c r="E184" s="975">
        <f t="shared" si="10"/>
        <v>1000</v>
      </c>
    </row>
    <row r="185" spans="1:5" ht="27.75" customHeight="1" x14ac:dyDescent="0.25">
      <c r="A185" s="726" t="s">
        <v>1143</v>
      </c>
      <c r="B185" s="725" t="s">
        <v>658</v>
      </c>
      <c r="C185" s="750">
        <v>1.85</v>
      </c>
      <c r="D185" s="976">
        <f t="shared" si="13"/>
        <v>0.6166666666666667</v>
      </c>
      <c r="E185" s="975">
        <f t="shared" si="10"/>
        <v>1850</v>
      </c>
    </row>
    <row r="186" spans="1:5" ht="27.75" customHeight="1" x14ac:dyDescent="0.25">
      <c r="A186" s="726" t="s">
        <v>1144</v>
      </c>
      <c r="B186" s="725" t="s">
        <v>658</v>
      </c>
      <c r="C186" s="750">
        <v>5</v>
      </c>
      <c r="D186" s="976">
        <f t="shared" si="13"/>
        <v>1.6666666666666667</v>
      </c>
      <c r="E186" s="975">
        <f t="shared" si="10"/>
        <v>5000</v>
      </c>
    </row>
    <row r="187" spans="1:5" ht="27.75" customHeight="1" x14ac:dyDescent="0.25">
      <c r="A187" s="726" t="s">
        <v>1145</v>
      </c>
      <c r="B187" s="725" t="s">
        <v>658</v>
      </c>
      <c r="C187" s="750">
        <v>2</v>
      </c>
      <c r="D187" s="976">
        <f t="shared" si="13"/>
        <v>0.66666666666666663</v>
      </c>
      <c r="E187" s="975">
        <f t="shared" si="10"/>
        <v>2000</v>
      </c>
    </row>
    <row r="188" spans="1:5" ht="27.75" customHeight="1" x14ac:dyDescent="0.25">
      <c r="A188" s="726" t="s">
        <v>1146</v>
      </c>
      <c r="B188" s="725" t="s">
        <v>658</v>
      </c>
      <c r="C188" s="750">
        <v>5</v>
      </c>
      <c r="D188" s="976">
        <f t="shared" si="13"/>
        <v>1.6666666666666667</v>
      </c>
      <c r="E188" s="975">
        <f t="shared" si="10"/>
        <v>5000</v>
      </c>
    </row>
    <row r="189" spans="1:5" ht="27.75" customHeight="1" x14ac:dyDescent="0.25">
      <c r="A189" s="726" t="s">
        <v>1147</v>
      </c>
      <c r="B189" s="725" t="s">
        <v>658</v>
      </c>
      <c r="C189" s="750">
        <v>1.2</v>
      </c>
      <c r="D189" s="976">
        <f t="shared" si="13"/>
        <v>0.39999999999999997</v>
      </c>
      <c r="E189" s="975">
        <f t="shared" si="10"/>
        <v>1200</v>
      </c>
    </row>
    <row r="190" spans="1:5" ht="27.75" customHeight="1" x14ac:dyDescent="0.25">
      <c r="A190" s="726" t="s">
        <v>1148</v>
      </c>
      <c r="B190" s="725" t="s">
        <v>658</v>
      </c>
      <c r="C190" s="750">
        <v>1.5</v>
      </c>
      <c r="D190" s="715">
        <v>436.62</v>
      </c>
      <c r="E190" s="975">
        <f t="shared" si="10"/>
        <v>1500</v>
      </c>
    </row>
    <row r="191" spans="1:5" ht="27.75" customHeight="1" x14ac:dyDescent="0.25">
      <c r="A191" s="726" t="s">
        <v>1149</v>
      </c>
      <c r="B191" s="725" t="s">
        <v>658</v>
      </c>
      <c r="C191" s="750">
        <v>15</v>
      </c>
      <c r="D191" s="976">
        <f>C191/3</f>
        <v>5</v>
      </c>
      <c r="E191" s="975">
        <f t="shared" si="10"/>
        <v>15000</v>
      </c>
    </row>
    <row r="192" spans="1:5" ht="27.75" customHeight="1" x14ac:dyDescent="0.25">
      <c r="A192" s="726" t="s">
        <v>1150</v>
      </c>
      <c r="B192" s="725" t="s">
        <v>658</v>
      </c>
      <c r="C192" s="750">
        <v>0.65</v>
      </c>
      <c r="D192" s="976">
        <f>C192/3</f>
        <v>0.21666666666666667</v>
      </c>
      <c r="E192" s="975">
        <f t="shared" si="10"/>
        <v>650</v>
      </c>
    </row>
    <row r="193" spans="1:5" ht="27.75" customHeight="1" x14ac:dyDescent="0.25">
      <c r="A193" s="726" t="s">
        <v>284</v>
      </c>
      <c r="B193" s="725" t="s">
        <v>658</v>
      </c>
      <c r="C193" s="750">
        <v>1.5</v>
      </c>
      <c r="D193" s="715">
        <v>357.63</v>
      </c>
      <c r="E193" s="975">
        <f t="shared" si="10"/>
        <v>1500</v>
      </c>
    </row>
    <row r="194" spans="1:5" ht="27.75" customHeight="1" x14ac:dyDescent="0.25">
      <c r="A194" s="726" t="s">
        <v>1151</v>
      </c>
      <c r="B194" s="725" t="s">
        <v>658</v>
      </c>
      <c r="C194" s="750">
        <v>40</v>
      </c>
      <c r="D194" s="976">
        <f t="shared" ref="D194:D200" si="14">C194/3</f>
        <v>13.333333333333334</v>
      </c>
      <c r="E194" s="975">
        <f t="shared" si="10"/>
        <v>40000</v>
      </c>
    </row>
    <row r="195" spans="1:5" ht="27.75" customHeight="1" x14ac:dyDescent="0.25">
      <c r="A195" s="726" t="s">
        <v>883</v>
      </c>
      <c r="B195" s="725" t="s">
        <v>658</v>
      </c>
      <c r="C195" s="750">
        <v>5</v>
      </c>
      <c r="D195" s="976">
        <f t="shared" si="14"/>
        <v>1.6666666666666667</v>
      </c>
      <c r="E195" s="975">
        <f t="shared" si="10"/>
        <v>5000</v>
      </c>
    </row>
    <row r="196" spans="1:5" ht="27.75" customHeight="1" x14ac:dyDescent="0.25">
      <c r="A196" s="726" t="s">
        <v>884</v>
      </c>
      <c r="B196" s="725" t="s">
        <v>658</v>
      </c>
      <c r="C196" s="750">
        <v>5</v>
      </c>
      <c r="D196" s="976">
        <f t="shared" si="14"/>
        <v>1.6666666666666667</v>
      </c>
      <c r="E196" s="975">
        <f t="shared" si="10"/>
        <v>5000</v>
      </c>
    </row>
    <row r="197" spans="1:5" ht="27.75" customHeight="1" x14ac:dyDescent="0.25">
      <c r="A197" s="726" t="s">
        <v>885</v>
      </c>
      <c r="B197" s="725" t="s">
        <v>658</v>
      </c>
      <c r="C197" s="750">
        <v>5</v>
      </c>
      <c r="D197" s="976">
        <f t="shared" si="14"/>
        <v>1.6666666666666667</v>
      </c>
      <c r="E197" s="975">
        <f t="shared" si="10"/>
        <v>5000</v>
      </c>
    </row>
    <row r="198" spans="1:5" ht="27.75" customHeight="1" x14ac:dyDescent="0.25">
      <c r="A198" s="726" t="s">
        <v>1135</v>
      </c>
      <c r="B198" s="725" t="s">
        <v>658</v>
      </c>
      <c r="C198" s="750">
        <v>1.25</v>
      </c>
      <c r="D198" s="976">
        <f t="shared" si="14"/>
        <v>0.41666666666666669</v>
      </c>
      <c r="E198" s="975">
        <f t="shared" si="10"/>
        <v>1250</v>
      </c>
    </row>
    <row r="199" spans="1:5" ht="27.75" customHeight="1" x14ac:dyDescent="0.25">
      <c r="A199" s="726" t="s">
        <v>1136</v>
      </c>
      <c r="B199" s="725" t="s">
        <v>658</v>
      </c>
      <c r="C199" s="750">
        <v>1.5</v>
      </c>
      <c r="D199" s="976">
        <f t="shared" si="14"/>
        <v>0.5</v>
      </c>
      <c r="E199" s="975">
        <f t="shared" si="10"/>
        <v>1500</v>
      </c>
    </row>
    <row r="200" spans="1:5" ht="27.75" customHeight="1" x14ac:dyDescent="0.25">
      <c r="A200" s="726" t="s">
        <v>1137</v>
      </c>
      <c r="B200" s="725" t="s">
        <v>658</v>
      </c>
      <c r="C200" s="750">
        <v>1.5</v>
      </c>
      <c r="D200" s="976">
        <f t="shared" si="14"/>
        <v>0.5</v>
      </c>
      <c r="E200" s="975">
        <f>C200*1000</f>
        <v>1500</v>
      </c>
    </row>
    <row r="201" spans="1:5" ht="27.75" customHeight="1" x14ac:dyDescent="0.25">
      <c r="A201" s="720" t="s">
        <v>1152</v>
      </c>
      <c r="B201" s="742"/>
      <c r="C201" s="750"/>
      <c r="D201" s="715"/>
      <c r="E201" s="975"/>
    </row>
    <row r="202" spans="1:5" ht="27.75" customHeight="1" x14ac:dyDescent="0.25">
      <c r="A202" s="726" t="s">
        <v>1153</v>
      </c>
      <c r="B202" s="725" t="s">
        <v>437</v>
      </c>
      <c r="C202" s="750">
        <v>1820</v>
      </c>
      <c r="D202" s="715"/>
      <c r="E202" s="975"/>
    </row>
    <row r="203" spans="1:5" ht="27.75" customHeight="1" x14ac:dyDescent="0.25">
      <c r="A203" s="726" t="s">
        <v>1154</v>
      </c>
      <c r="B203" s="725" t="s">
        <v>437</v>
      </c>
      <c r="C203" s="750">
        <v>2142</v>
      </c>
      <c r="D203" s="715"/>
      <c r="E203" s="975"/>
    </row>
    <row r="204" spans="1:5" ht="27.75" customHeight="1" x14ac:dyDescent="0.25">
      <c r="A204" s="726" t="s">
        <v>1155</v>
      </c>
      <c r="B204" s="725" t="s">
        <v>437</v>
      </c>
      <c r="C204" s="750">
        <v>2210</v>
      </c>
      <c r="D204" s="715"/>
      <c r="E204" s="975"/>
    </row>
    <row r="205" spans="1:5" ht="27.75" customHeight="1" x14ac:dyDescent="0.25">
      <c r="A205" s="726" t="s">
        <v>1156</v>
      </c>
      <c r="B205" s="725" t="s">
        <v>437</v>
      </c>
      <c r="C205" s="750">
        <v>2182</v>
      </c>
      <c r="D205" s="715"/>
      <c r="E205" s="975"/>
    </row>
    <row r="206" spans="1:5" ht="27.75" customHeight="1" x14ac:dyDescent="0.25">
      <c r="A206" s="726" t="s">
        <v>1157</v>
      </c>
      <c r="B206" s="725" t="s">
        <v>437</v>
      </c>
      <c r="C206" s="750">
        <v>2196</v>
      </c>
      <c r="D206" s="715"/>
      <c r="E206" s="975"/>
    </row>
    <row r="207" spans="1:5" ht="27.75" customHeight="1" x14ac:dyDescent="0.25">
      <c r="A207" s="726" t="s">
        <v>1158</v>
      </c>
      <c r="B207" s="725" t="s">
        <v>437</v>
      </c>
      <c r="C207" s="750">
        <v>2170</v>
      </c>
      <c r="D207" s="715"/>
      <c r="E207" s="975"/>
    </row>
    <row r="208" spans="1:5" ht="27.75" customHeight="1" x14ac:dyDescent="0.25">
      <c r="A208" s="726" t="s">
        <v>1159</v>
      </c>
      <c r="B208" s="725" t="s">
        <v>437</v>
      </c>
      <c r="C208" s="750">
        <v>2042</v>
      </c>
      <c r="D208" s="715"/>
      <c r="E208" s="975"/>
    </row>
    <row r="209" spans="1:5" ht="27.75" customHeight="1" x14ac:dyDescent="0.25">
      <c r="A209" s="726" t="s">
        <v>1160</v>
      </c>
      <c r="B209" s="725" t="s">
        <v>437</v>
      </c>
      <c r="C209" s="750">
        <v>2013</v>
      </c>
      <c r="D209" s="715"/>
      <c r="E209" s="975"/>
    </row>
    <row r="210" spans="1:5" ht="27.75" customHeight="1" x14ac:dyDescent="0.25">
      <c r="A210" s="726" t="s">
        <v>1161</v>
      </c>
      <c r="B210" s="725" t="s">
        <v>437</v>
      </c>
      <c r="C210" s="750">
        <v>2127</v>
      </c>
      <c r="D210" s="715"/>
      <c r="E210" s="975"/>
    </row>
    <row r="211" spans="1:5" ht="27.75" customHeight="1" x14ac:dyDescent="0.25">
      <c r="A211" s="726" t="s">
        <v>1162</v>
      </c>
      <c r="B211" s="725" t="s">
        <v>437</v>
      </c>
      <c r="C211" s="750">
        <v>2099</v>
      </c>
      <c r="D211" s="715"/>
      <c r="E211" s="975"/>
    </row>
    <row r="212" spans="1:5" ht="27.75" customHeight="1" x14ac:dyDescent="0.25">
      <c r="A212" s="726" t="s">
        <v>1163</v>
      </c>
      <c r="B212" s="725" t="s">
        <v>437</v>
      </c>
      <c r="C212" s="750">
        <v>2228</v>
      </c>
      <c r="D212" s="715"/>
      <c r="E212" s="975"/>
    </row>
    <row r="213" spans="1:5" ht="27.75" customHeight="1" x14ac:dyDescent="0.25">
      <c r="A213" s="726" t="s">
        <v>1164</v>
      </c>
      <c r="B213" s="725" t="s">
        <v>437</v>
      </c>
      <c r="C213" s="750">
        <v>2200</v>
      </c>
      <c r="D213" s="715"/>
      <c r="E213" s="975"/>
    </row>
    <row r="214" spans="1:5" ht="27.75" customHeight="1" x14ac:dyDescent="0.25">
      <c r="A214" s="726" t="s">
        <v>1165</v>
      </c>
      <c r="B214" s="725" t="s">
        <v>437</v>
      </c>
      <c r="C214" s="750">
        <v>2216</v>
      </c>
      <c r="D214" s="715"/>
      <c r="E214" s="975"/>
    </row>
    <row r="215" spans="1:5" ht="27.75" customHeight="1" x14ac:dyDescent="0.25">
      <c r="A215" s="726" t="s">
        <v>1166</v>
      </c>
      <c r="B215" s="725" t="s">
        <v>437</v>
      </c>
      <c r="C215" s="750">
        <v>2188</v>
      </c>
      <c r="D215" s="715"/>
      <c r="E215" s="975"/>
    </row>
    <row r="216" spans="1:5" ht="27.75" customHeight="1" x14ac:dyDescent="0.25">
      <c r="A216" s="726" t="s">
        <v>1167</v>
      </c>
      <c r="B216" s="725" t="s">
        <v>437</v>
      </c>
      <c r="C216" s="750">
        <v>2132</v>
      </c>
      <c r="D216" s="715"/>
      <c r="E216" s="975"/>
    </row>
    <row r="217" spans="1:5" ht="27.75" customHeight="1" x14ac:dyDescent="0.25">
      <c r="A217" s="726" t="s">
        <v>1168</v>
      </c>
      <c r="B217" s="725" t="s">
        <v>437</v>
      </c>
      <c r="C217" s="750">
        <v>2104</v>
      </c>
      <c r="D217" s="715"/>
      <c r="E217" s="975"/>
    </row>
    <row r="218" spans="1:5" ht="27.75" customHeight="1" x14ac:dyDescent="0.25">
      <c r="A218" s="726" t="s">
        <v>1169</v>
      </c>
      <c r="B218" s="725" t="s">
        <v>437</v>
      </c>
      <c r="C218" s="750">
        <v>2571</v>
      </c>
      <c r="D218" s="715"/>
      <c r="E218" s="975"/>
    </row>
    <row r="219" spans="1:5" ht="27.75" customHeight="1" x14ac:dyDescent="0.25">
      <c r="A219" s="726" t="s">
        <v>1170</v>
      </c>
      <c r="B219" s="725" t="s">
        <v>437</v>
      </c>
      <c r="C219" s="750">
        <v>2543</v>
      </c>
      <c r="D219" s="715"/>
      <c r="E219" s="975"/>
    </row>
    <row r="220" spans="1:5" ht="27.75" customHeight="1" x14ac:dyDescent="0.25">
      <c r="A220" s="726" t="s">
        <v>1171</v>
      </c>
      <c r="B220" s="725" t="s">
        <v>437</v>
      </c>
      <c r="C220" s="750">
        <v>2525</v>
      </c>
      <c r="D220" s="715"/>
      <c r="E220" s="975"/>
    </row>
    <row r="221" spans="1:5" ht="27.75" customHeight="1" x14ac:dyDescent="0.25">
      <c r="A221" s="726" t="s">
        <v>1172</v>
      </c>
      <c r="B221" s="725" t="s">
        <v>437</v>
      </c>
      <c r="C221" s="750">
        <v>2499</v>
      </c>
      <c r="D221" s="715"/>
      <c r="E221" s="975"/>
    </row>
    <row r="222" spans="1:5" ht="27.75" customHeight="1" x14ac:dyDescent="0.25">
      <c r="A222" s="726" t="s">
        <v>1173</v>
      </c>
      <c r="B222" s="725" t="s">
        <v>437</v>
      </c>
      <c r="C222" s="750">
        <v>2638</v>
      </c>
      <c r="D222" s="715"/>
      <c r="E222" s="975"/>
    </row>
    <row r="223" spans="1:5" ht="27.75" customHeight="1" x14ac:dyDescent="0.25">
      <c r="A223" s="726" t="s">
        <v>1174</v>
      </c>
      <c r="B223" s="725" t="s">
        <v>437</v>
      </c>
      <c r="C223" s="750">
        <v>2612</v>
      </c>
      <c r="D223" s="715"/>
      <c r="E223" s="975"/>
    </row>
    <row r="224" spans="1:5" ht="27.75" customHeight="1" x14ac:dyDescent="0.25">
      <c r="A224" s="726" t="s">
        <v>1175</v>
      </c>
      <c r="B224" s="725" t="s">
        <v>437</v>
      </c>
      <c r="C224" s="750">
        <v>2594</v>
      </c>
      <c r="D224" s="715"/>
      <c r="E224" s="975"/>
    </row>
    <row r="225" spans="1:5" ht="27.75" customHeight="1" x14ac:dyDescent="0.25">
      <c r="A225" s="726" t="s">
        <v>1176</v>
      </c>
      <c r="B225" s="725" t="s">
        <v>437</v>
      </c>
      <c r="C225" s="750">
        <v>2566</v>
      </c>
      <c r="D225" s="715"/>
      <c r="E225" s="975"/>
    </row>
    <row r="226" spans="1:5" ht="27.75" customHeight="1" x14ac:dyDescent="0.25">
      <c r="A226" s="726" t="s">
        <v>1177</v>
      </c>
      <c r="B226" s="725" t="s">
        <v>437</v>
      </c>
      <c r="C226" s="750">
        <v>2489</v>
      </c>
      <c r="D226" s="715"/>
      <c r="E226" s="975"/>
    </row>
    <row r="227" spans="1:5" ht="27.75" customHeight="1" x14ac:dyDescent="0.25">
      <c r="A227" s="726" t="s">
        <v>1178</v>
      </c>
      <c r="B227" s="725" t="s">
        <v>437</v>
      </c>
      <c r="C227" s="750">
        <v>2458</v>
      </c>
      <c r="D227" s="715"/>
      <c r="E227" s="975"/>
    </row>
    <row r="228" spans="1:5" ht="27.75" customHeight="1" x14ac:dyDescent="0.25">
      <c r="A228" s="726" t="s">
        <v>1179</v>
      </c>
      <c r="B228" s="725" t="s">
        <v>437</v>
      </c>
      <c r="C228" s="750">
        <v>2529</v>
      </c>
      <c r="D228" s="715"/>
      <c r="E228" s="975"/>
    </row>
    <row r="229" spans="1:5" ht="27.75" customHeight="1" x14ac:dyDescent="0.25">
      <c r="A229" s="720" t="s">
        <v>1180</v>
      </c>
      <c r="B229" s="742"/>
      <c r="C229" s="752"/>
      <c r="D229" s="977"/>
      <c r="E229" s="975"/>
    </row>
    <row r="230" spans="1:5" ht="27.75" customHeight="1" x14ac:dyDescent="0.25">
      <c r="A230" s="726" t="s">
        <v>1181</v>
      </c>
      <c r="B230" s="725" t="s">
        <v>437</v>
      </c>
      <c r="C230" s="750">
        <v>2498</v>
      </c>
      <c r="D230" s="715"/>
      <c r="E230" s="975"/>
    </row>
    <row r="231" spans="1:5" ht="27.75" customHeight="1" x14ac:dyDescent="0.25">
      <c r="A231" s="726" t="s">
        <v>1182</v>
      </c>
      <c r="B231" s="725" t="s">
        <v>437</v>
      </c>
      <c r="C231" s="750">
        <v>2292</v>
      </c>
      <c r="D231" s="715"/>
      <c r="E231" s="975"/>
    </row>
    <row r="232" spans="1:5" ht="27.75" customHeight="1" x14ac:dyDescent="0.25">
      <c r="A232" s="726" t="s">
        <v>1183</v>
      </c>
      <c r="B232" s="725" t="s">
        <v>437</v>
      </c>
      <c r="C232" s="750">
        <v>2264</v>
      </c>
      <c r="D232" s="715"/>
      <c r="E232" s="975"/>
    </row>
    <row r="233" spans="1:5" ht="27.75" customHeight="1" x14ac:dyDescent="0.25">
      <c r="A233" s="726" t="s">
        <v>1184</v>
      </c>
      <c r="B233" s="725" t="s">
        <v>437</v>
      </c>
      <c r="C233" s="750">
        <v>2138</v>
      </c>
      <c r="D233" s="715"/>
      <c r="E233" s="975"/>
    </row>
    <row r="234" spans="1:5" ht="27.75" customHeight="1" x14ac:dyDescent="0.25">
      <c r="A234" s="726" t="s">
        <v>1185</v>
      </c>
      <c r="B234" s="725" t="s">
        <v>437</v>
      </c>
      <c r="C234" s="750">
        <v>2110</v>
      </c>
      <c r="D234" s="715"/>
      <c r="E234" s="975"/>
    </row>
    <row r="235" spans="1:5" ht="27.75" customHeight="1" x14ac:dyDescent="0.25">
      <c r="A235" s="726" t="s">
        <v>1186</v>
      </c>
      <c r="B235" s="725" t="s">
        <v>437</v>
      </c>
      <c r="C235" s="750">
        <v>2224</v>
      </c>
      <c r="D235" s="715"/>
      <c r="E235" s="975"/>
    </row>
    <row r="236" spans="1:5" ht="27.75" customHeight="1" x14ac:dyDescent="0.25">
      <c r="A236" s="726" t="s">
        <v>1187</v>
      </c>
      <c r="B236" s="725" t="s">
        <v>437</v>
      </c>
      <c r="C236" s="750">
        <v>2196</v>
      </c>
      <c r="D236" s="715"/>
      <c r="E236" s="975"/>
    </row>
    <row r="237" spans="1:5" ht="27.75" customHeight="1" x14ac:dyDescent="0.25">
      <c r="A237" s="726" t="s">
        <v>1188</v>
      </c>
      <c r="B237" s="725" t="s">
        <v>437</v>
      </c>
      <c r="C237" s="750">
        <v>2754</v>
      </c>
      <c r="D237" s="715"/>
      <c r="E237" s="975"/>
    </row>
    <row r="238" spans="1:5" ht="27.75" customHeight="1" x14ac:dyDescent="0.25">
      <c r="A238" s="726" t="s">
        <v>1189</v>
      </c>
      <c r="B238" s="725" t="s">
        <v>437</v>
      </c>
      <c r="C238" s="750">
        <v>2725</v>
      </c>
      <c r="D238" s="715"/>
      <c r="E238" s="975"/>
    </row>
    <row r="239" spans="1:5" ht="27.75" customHeight="1" x14ac:dyDescent="0.25">
      <c r="A239" s="726" t="s">
        <v>1190</v>
      </c>
      <c r="B239" s="725" t="s">
        <v>437</v>
      </c>
      <c r="C239" s="750">
        <v>2533</v>
      </c>
      <c r="D239" s="715"/>
      <c r="E239" s="975"/>
    </row>
    <row r="240" spans="1:5" ht="27.75" customHeight="1" x14ac:dyDescent="0.25">
      <c r="A240" s="726" t="s">
        <v>1191</v>
      </c>
      <c r="B240" s="725" t="s">
        <v>437</v>
      </c>
      <c r="C240" s="750">
        <v>2504</v>
      </c>
      <c r="D240" s="715"/>
      <c r="E240" s="975"/>
    </row>
    <row r="241" spans="1:5" ht="27.75" customHeight="1" x14ac:dyDescent="0.25">
      <c r="A241" s="726" t="s">
        <v>1192</v>
      </c>
      <c r="B241" s="725" t="s">
        <v>437</v>
      </c>
      <c r="C241" s="750">
        <v>2315</v>
      </c>
      <c r="D241" s="715"/>
      <c r="E241" s="975"/>
    </row>
    <row r="242" spans="1:5" ht="27.75" customHeight="1" x14ac:dyDescent="0.25">
      <c r="A242" s="726" t="s">
        <v>1193</v>
      </c>
      <c r="B242" s="725" t="s">
        <v>437</v>
      </c>
      <c r="C242" s="750">
        <v>2287</v>
      </c>
      <c r="D242" s="715"/>
      <c r="E242" s="975"/>
    </row>
    <row r="243" spans="1:5" ht="27.75" customHeight="1" x14ac:dyDescent="0.25">
      <c r="A243" s="726" t="s">
        <v>1194</v>
      </c>
      <c r="B243" s="725" t="s">
        <v>437</v>
      </c>
      <c r="C243" s="750">
        <v>2301</v>
      </c>
      <c r="D243" s="715"/>
      <c r="E243" s="975"/>
    </row>
    <row r="244" spans="1:5" ht="27.75" customHeight="1" x14ac:dyDescent="0.25">
      <c r="A244" s="726" t="s">
        <v>1195</v>
      </c>
      <c r="B244" s="725" t="s">
        <v>437</v>
      </c>
      <c r="C244" s="750">
        <v>2273</v>
      </c>
      <c r="D244" s="715"/>
      <c r="E244" s="975"/>
    </row>
    <row r="245" spans="1:5" ht="27.75" customHeight="1" x14ac:dyDescent="0.25">
      <c r="A245" s="726" t="s">
        <v>1196</v>
      </c>
      <c r="B245" s="725" t="s">
        <v>437</v>
      </c>
      <c r="C245" s="750">
        <v>2260</v>
      </c>
      <c r="D245" s="715"/>
      <c r="E245" s="975"/>
    </row>
    <row r="246" spans="1:5" ht="27.75" customHeight="1" x14ac:dyDescent="0.25">
      <c r="A246" s="726" t="s">
        <v>1197</v>
      </c>
      <c r="B246" s="725" t="s">
        <v>437</v>
      </c>
      <c r="C246" s="750">
        <v>2232</v>
      </c>
      <c r="D246" s="715"/>
      <c r="E246" s="975"/>
    </row>
    <row r="247" spans="1:5" ht="27.75" customHeight="1" x14ac:dyDescent="0.25">
      <c r="A247" s="726" t="s">
        <v>1198</v>
      </c>
      <c r="B247" s="725" t="s">
        <v>437</v>
      </c>
      <c r="C247" s="750">
        <v>795</v>
      </c>
      <c r="D247" s="715"/>
      <c r="E247" s="975"/>
    </row>
    <row r="248" spans="1:5" ht="27.75" customHeight="1" x14ac:dyDescent="0.25">
      <c r="A248" s="726" t="s">
        <v>1199</v>
      </c>
      <c r="B248" s="725" t="s">
        <v>437</v>
      </c>
      <c r="C248" s="750">
        <v>767</v>
      </c>
      <c r="D248" s="715"/>
      <c r="E248" s="975"/>
    </row>
    <row r="249" spans="1:5" ht="27.75" customHeight="1" x14ac:dyDescent="0.25">
      <c r="A249" s="726" t="s">
        <v>1200</v>
      </c>
      <c r="B249" s="725" t="s">
        <v>437</v>
      </c>
      <c r="C249" s="750">
        <v>2642</v>
      </c>
      <c r="D249" s="715"/>
      <c r="E249" s="975"/>
    </row>
    <row r="250" spans="1:5" ht="27.75" customHeight="1" x14ac:dyDescent="0.25">
      <c r="A250" s="726" t="s">
        <v>1201</v>
      </c>
      <c r="B250" s="725" t="s">
        <v>437</v>
      </c>
      <c r="C250" s="750">
        <v>2614</v>
      </c>
      <c r="D250" s="715"/>
      <c r="E250" s="975"/>
    </row>
    <row r="251" spans="1:5" ht="27.75" customHeight="1" x14ac:dyDescent="0.25">
      <c r="A251" s="726" t="s">
        <v>1202</v>
      </c>
      <c r="B251" s="725" t="s">
        <v>437</v>
      </c>
      <c r="C251" s="750">
        <v>1500</v>
      </c>
      <c r="D251" s="715"/>
      <c r="E251" s="975"/>
    </row>
    <row r="252" spans="1:5" ht="27.75" customHeight="1" x14ac:dyDescent="0.25">
      <c r="A252" s="726" t="s">
        <v>1203</v>
      </c>
      <c r="B252" s="725" t="s">
        <v>437</v>
      </c>
      <c r="C252" s="750">
        <v>1800</v>
      </c>
      <c r="D252" s="715"/>
      <c r="E252" s="975"/>
    </row>
    <row r="253" spans="1:5" ht="27.75" customHeight="1" x14ac:dyDescent="0.25">
      <c r="A253" s="2490" t="s">
        <v>1204</v>
      </c>
      <c r="B253" s="2490"/>
      <c r="C253" s="2490"/>
      <c r="D253" s="978"/>
      <c r="E253" s="975"/>
    </row>
    <row r="254" spans="1:5" ht="27.75" customHeight="1" x14ac:dyDescent="0.25">
      <c r="A254" s="726" t="s">
        <v>1205</v>
      </c>
      <c r="B254" s="725" t="s">
        <v>1206</v>
      </c>
      <c r="C254" s="750">
        <v>5</v>
      </c>
      <c r="D254" s="715"/>
      <c r="E254" s="975">
        <f t="shared" ref="E254:E317" si="15">C254*1000</f>
        <v>5000</v>
      </c>
    </row>
    <row r="255" spans="1:5" ht="27.75" customHeight="1" x14ac:dyDescent="0.25">
      <c r="A255" s="726" t="s">
        <v>1207</v>
      </c>
      <c r="B255" s="725" t="s">
        <v>949</v>
      </c>
      <c r="C255" s="750">
        <v>4.5</v>
      </c>
      <c r="D255" s="715"/>
      <c r="E255" s="975">
        <f t="shared" si="15"/>
        <v>4500</v>
      </c>
    </row>
    <row r="256" spans="1:5" ht="27.75" customHeight="1" x14ac:dyDescent="0.25">
      <c r="A256" s="726" t="s">
        <v>1208</v>
      </c>
      <c r="B256" s="725" t="s">
        <v>949</v>
      </c>
      <c r="C256" s="750">
        <v>5</v>
      </c>
      <c r="D256" s="715"/>
      <c r="E256" s="975">
        <f t="shared" si="15"/>
        <v>5000</v>
      </c>
    </row>
    <row r="257" spans="1:5" ht="27.75" customHeight="1" x14ac:dyDescent="0.25">
      <c r="A257" s="726" t="s">
        <v>1209</v>
      </c>
      <c r="B257" s="725" t="s">
        <v>949</v>
      </c>
      <c r="C257" s="750">
        <v>20</v>
      </c>
      <c r="D257" s="715"/>
      <c r="E257" s="975">
        <f t="shared" si="15"/>
        <v>20000</v>
      </c>
    </row>
    <row r="258" spans="1:5" ht="27.75" customHeight="1" x14ac:dyDescent="0.25">
      <c r="A258" s="726" t="s">
        <v>1210</v>
      </c>
      <c r="B258" s="725" t="s">
        <v>949</v>
      </c>
      <c r="C258" s="750">
        <v>15</v>
      </c>
      <c r="D258" s="715"/>
      <c r="E258" s="975">
        <f t="shared" si="15"/>
        <v>15000</v>
      </c>
    </row>
    <row r="259" spans="1:5" ht="27.75" customHeight="1" x14ac:dyDescent="0.25">
      <c r="A259" s="726" t="s">
        <v>1211</v>
      </c>
      <c r="B259" s="725" t="s">
        <v>949</v>
      </c>
      <c r="C259" s="750">
        <v>12</v>
      </c>
      <c r="D259" s="715"/>
      <c r="E259" s="975">
        <f t="shared" si="15"/>
        <v>12000</v>
      </c>
    </row>
    <row r="260" spans="1:5" ht="27.75" customHeight="1" x14ac:dyDescent="0.25">
      <c r="A260" s="726" t="s">
        <v>1212</v>
      </c>
      <c r="B260" s="725" t="s">
        <v>949</v>
      </c>
      <c r="C260" s="750">
        <v>5</v>
      </c>
      <c r="D260" s="715"/>
      <c r="E260" s="975">
        <f t="shared" si="15"/>
        <v>5000</v>
      </c>
    </row>
    <row r="261" spans="1:5" ht="27.75" customHeight="1" x14ac:dyDescent="0.25">
      <c r="A261" s="726" t="s">
        <v>1213</v>
      </c>
      <c r="B261" s="725" t="s">
        <v>949</v>
      </c>
      <c r="C261" s="750">
        <v>20</v>
      </c>
      <c r="D261" s="715"/>
      <c r="E261" s="975">
        <f t="shared" si="15"/>
        <v>20000</v>
      </c>
    </row>
    <row r="262" spans="1:5" ht="27.75" customHeight="1" x14ac:dyDescent="0.25">
      <c r="A262" s="726" t="s">
        <v>1214</v>
      </c>
      <c r="B262" s="725" t="s">
        <v>949</v>
      </c>
      <c r="C262" s="750">
        <v>15</v>
      </c>
      <c r="D262" s="715"/>
      <c r="E262" s="975">
        <f t="shared" si="15"/>
        <v>15000</v>
      </c>
    </row>
    <row r="263" spans="1:5" ht="27.75" customHeight="1" x14ac:dyDescent="0.25">
      <c r="A263" s="726" t="s">
        <v>1215</v>
      </c>
      <c r="B263" s="725" t="s">
        <v>949</v>
      </c>
      <c r="C263" s="750">
        <v>6</v>
      </c>
      <c r="D263" s="715"/>
      <c r="E263" s="975">
        <f t="shared" si="15"/>
        <v>6000</v>
      </c>
    </row>
    <row r="264" spans="1:5" ht="27.75" customHeight="1" x14ac:dyDescent="0.25">
      <c r="A264" s="726" t="s">
        <v>1216</v>
      </c>
      <c r="B264" s="725" t="s">
        <v>949</v>
      </c>
      <c r="C264" s="750">
        <v>10</v>
      </c>
      <c r="D264" s="715"/>
      <c r="E264" s="975">
        <f t="shared" si="15"/>
        <v>10000</v>
      </c>
    </row>
    <row r="265" spans="1:5" ht="27.75" customHeight="1" x14ac:dyDescent="0.25">
      <c r="A265" s="726" t="s">
        <v>1217</v>
      </c>
      <c r="B265" s="725" t="s">
        <v>949</v>
      </c>
      <c r="C265" s="750">
        <v>36.6</v>
      </c>
      <c r="D265" s="715"/>
      <c r="E265" s="975">
        <f t="shared" si="15"/>
        <v>36600</v>
      </c>
    </row>
    <row r="266" spans="1:5" ht="27.75" customHeight="1" x14ac:dyDescent="0.25">
      <c r="A266" s="726" t="s">
        <v>1218</v>
      </c>
      <c r="B266" s="725" t="s">
        <v>949</v>
      </c>
      <c r="C266" s="750">
        <v>30</v>
      </c>
      <c r="D266" s="715"/>
      <c r="E266" s="975">
        <f t="shared" si="15"/>
        <v>30000</v>
      </c>
    </row>
    <row r="267" spans="1:5" ht="27.75" customHeight="1" x14ac:dyDescent="0.25">
      <c r="A267" s="726" t="s">
        <v>1219</v>
      </c>
      <c r="B267" s="725" t="s">
        <v>949</v>
      </c>
      <c r="C267" s="750">
        <v>8</v>
      </c>
      <c r="D267" s="715"/>
      <c r="E267" s="975">
        <f t="shared" si="15"/>
        <v>8000</v>
      </c>
    </row>
    <row r="268" spans="1:5" ht="27.75" customHeight="1" x14ac:dyDescent="0.25">
      <c r="A268" s="726" t="s">
        <v>1220</v>
      </c>
      <c r="B268" s="725" t="s">
        <v>949</v>
      </c>
      <c r="C268" s="750">
        <v>15</v>
      </c>
      <c r="D268" s="715"/>
      <c r="E268" s="975">
        <f t="shared" si="15"/>
        <v>15000</v>
      </c>
    </row>
    <row r="269" spans="1:5" ht="27.75" customHeight="1" x14ac:dyDescent="0.25">
      <c r="A269" s="726" t="s">
        <v>1221</v>
      </c>
      <c r="B269" s="725" t="s">
        <v>949</v>
      </c>
      <c r="C269" s="750">
        <v>31.86</v>
      </c>
      <c r="D269" s="715"/>
      <c r="E269" s="975">
        <f t="shared" si="15"/>
        <v>31860</v>
      </c>
    </row>
    <row r="270" spans="1:5" ht="27.75" customHeight="1" x14ac:dyDescent="0.25">
      <c r="A270" s="726" t="s">
        <v>1222</v>
      </c>
      <c r="B270" s="725" t="s">
        <v>949</v>
      </c>
      <c r="C270" s="750">
        <v>70</v>
      </c>
      <c r="D270" s="715"/>
      <c r="E270" s="975">
        <f t="shared" si="15"/>
        <v>70000</v>
      </c>
    </row>
    <row r="271" spans="1:5" ht="27.75" customHeight="1" x14ac:dyDescent="0.25">
      <c r="A271" s="726" t="s">
        <v>1223</v>
      </c>
      <c r="B271" s="725" t="s">
        <v>949</v>
      </c>
      <c r="C271" s="750">
        <v>10</v>
      </c>
      <c r="D271" s="715"/>
      <c r="E271" s="975">
        <f t="shared" si="15"/>
        <v>10000</v>
      </c>
    </row>
    <row r="272" spans="1:5" ht="27.75" customHeight="1" x14ac:dyDescent="0.25">
      <c r="A272" s="726" t="s">
        <v>1224</v>
      </c>
      <c r="B272" s="725" t="s">
        <v>949</v>
      </c>
      <c r="C272" s="750">
        <v>30</v>
      </c>
      <c r="D272" s="715"/>
      <c r="E272" s="975">
        <f t="shared" si="15"/>
        <v>30000</v>
      </c>
    </row>
    <row r="273" spans="1:5" ht="27.75" customHeight="1" x14ac:dyDescent="0.25">
      <c r="A273" s="726" t="s">
        <v>1225</v>
      </c>
      <c r="B273" s="725" t="s">
        <v>949</v>
      </c>
      <c r="C273" s="750">
        <v>8</v>
      </c>
      <c r="D273" s="715"/>
      <c r="E273" s="975">
        <f t="shared" si="15"/>
        <v>8000</v>
      </c>
    </row>
    <row r="274" spans="1:5" ht="27.75" customHeight="1" x14ac:dyDescent="0.25">
      <c r="A274" s="726" t="s">
        <v>1226</v>
      </c>
      <c r="B274" s="725" t="s">
        <v>949</v>
      </c>
      <c r="C274" s="750">
        <v>12</v>
      </c>
      <c r="D274" s="715"/>
      <c r="E274" s="975">
        <f t="shared" si="15"/>
        <v>12000</v>
      </c>
    </row>
    <row r="275" spans="1:5" ht="27.75" customHeight="1" x14ac:dyDescent="0.25">
      <c r="A275" s="726" t="s">
        <v>1227</v>
      </c>
      <c r="B275" s="725" t="s">
        <v>949</v>
      </c>
      <c r="C275" s="750">
        <v>5</v>
      </c>
      <c r="D275" s="715"/>
      <c r="E275" s="975">
        <f t="shared" si="15"/>
        <v>5000</v>
      </c>
    </row>
    <row r="276" spans="1:5" ht="27.75" customHeight="1" x14ac:dyDescent="0.25">
      <c r="A276" s="726" t="s">
        <v>1228</v>
      </c>
      <c r="B276" s="725" t="s">
        <v>1229</v>
      </c>
      <c r="C276" s="750">
        <v>15</v>
      </c>
      <c r="D276" s="715"/>
      <c r="E276" s="975">
        <f t="shared" si="15"/>
        <v>15000</v>
      </c>
    </row>
    <row r="277" spans="1:5" ht="27.75" customHeight="1" x14ac:dyDescent="0.25">
      <c r="A277" s="726" t="s">
        <v>1230</v>
      </c>
      <c r="B277" s="725" t="s">
        <v>949</v>
      </c>
      <c r="C277" s="750">
        <v>71.52</v>
      </c>
      <c r="D277" s="715"/>
      <c r="E277" s="975">
        <f t="shared" si="15"/>
        <v>71520</v>
      </c>
    </row>
    <row r="278" spans="1:5" ht="27.75" customHeight="1" x14ac:dyDescent="0.25">
      <c r="A278" s="726" t="s">
        <v>1231</v>
      </c>
      <c r="B278" s="725" t="s">
        <v>949</v>
      </c>
      <c r="C278" s="750">
        <v>50</v>
      </c>
      <c r="D278" s="715"/>
      <c r="E278" s="975">
        <f t="shared" si="15"/>
        <v>50000</v>
      </c>
    </row>
    <row r="279" spans="1:5" ht="27.75" customHeight="1" x14ac:dyDescent="0.25">
      <c r="A279" s="726" t="s">
        <v>1232</v>
      </c>
      <c r="B279" s="725" t="s">
        <v>949</v>
      </c>
      <c r="C279" s="750">
        <v>40</v>
      </c>
      <c r="D279" s="715"/>
      <c r="E279" s="975">
        <f t="shared" si="15"/>
        <v>40000</v>
      </c>
    </row>
    <row r="280" spans="1:5" ht="27.75" customHeight="1" x14ac:dyDescent="0.25">
      <c r="A280" s="726" t="s">
        <v>1233</v>
      </c>
      <c r="B280" s="725" t="s">
        <v>949</v>
      </c>
      <c r="C280" s="750">
        <v>30</v>
      </c>
      <c r="D280" s="715"/>
      <c r="E280" s="975">
        <f t="shared" si="15"/>
        <v>30000</v>
      </c>
    </row>
    <row r="281" spans="1:5" ht="27.75" customHeight="1" x14ac:dyDescent="0.25">
      <c r="A281" s="726" t="s">
        <v>1234</v>
      </c>
      <c r="B281" s="725" t="s">
        <v>949</v>
      </c>
      <c r="C281" s="750">
        <v>40</v>
      </c>
      <c r="D281" s="715"/>
      <c r="E281" s="975">
        <f t="shared" si="15"/>
        <v>40000</v>
      </c>
    </row>
    <row r="282" spans="1:5" ht="27.75" customHeight="1" x14ac:dyDescent="0.25">
      <c r="A282" s="726" t="s">
        <v>1235</v>
      </c>
      <c r="B282" s="725" t="s">
        <v>949</v>
      </c>
      <c r="C282" s="750">
        <v>15</v>
      </c>
      <c r="D282" s="715"/>
      <c r="E282" s="975">
        <f t="shared" si="15"/>
        <v>15000</v>
      </c>
    </row>
    <row r="283" spans="1:5" ht="27.75" customHeight="1" x14ac:dyDescent="0.25">
      <c r="A283" s="726" t="s">
        <v>1236</v>
      </c>
      <c r="B283" s="725" t="s">
        <v>949</v>
      </c>
      <c r="C283" s="750">
        <v>12</v>
      </c>
      <c r="D283" s="715"/>
      <c r="E283" s="975">
        <f t="shared" si="15"/>
        <v>12000</v>
      </c>
    </row>
    <row r="284" spans="1:5" ht="27.75" customHeight="1" x14ac:dyDescent="0.25">
      <c r="A284" s="726" t="s">
        <v>1237</v>
      </c>
      <c r="B284" s="725" t="s">
        <v>949</v>
      </c>
      <c r="C284" s="750">
        <v>15</v>
      </c>
      <c r="D284" s="715"/>
      <c r="E284" s="975">
        <f t="shared" si="15"/>
        <v>15000</v>
      </c>
    </row>
    <row r="285" spans="1:5" ht="27.75" customHeight="1" x14ac:dyDescent="0.25">
      <c r="A285" s="726" t="s">
        <v>1238</v>
      </c>
      <c r="B285" s="725" t="s">
        <v>949</v>
      </c>
      <c r="C285" s="750">
        <v>12</v>
      </c>
      <c r="D285" s="715"/>
      <c r="E285" s="975">
        <f t="shared" si="15"/>
        <v>12000</v>
      </c>
    </row>
    <row r="286" spans="1:5" ht="27.75" customHeight="1" x14ac:dyDescent="0.25">
      <c r="A286" s="726" t="s">
        <v>1239</v>
      </c>
      <c r="B286" s="725" t="s">
        <v>949</v>
      </c>
      <c r="C286" s="750">
        <v>8</v>
      </c>
      <c r="D286" s="715"/>
      <c r="E286" s="975">
        <f t="shared" si="15"/>
        <v>8000</v>
      </c>
    </row>
    <row r="287" spans="1:5" ht="27.75" customHeight="1" x14ac:dyDescent="0.25">
      <c r="A287" s="726" t="s">
        <v>1240</v>
      </c>
      <c r="B287" s="725" t="s">
        <v>949</v>
      </c>
      <c r="C287" s="750">
        <v>15</v>
      </c>
      <c r="D287" s="715"/>
      <c r="E287" s="975">
        <f t="shared" si="15"/>
        <v>15000</v>
      </c>
    </row>
    <row r="288" spans="1:5" ht="27.75" customHeight="1" x14ac:dyDescent="0.25">
      <c r="A288" s="726" t="s">
        <v>1241</v>
      </c>
      <c r="B288" s="725" t="s">
        <v>949</v>
      </c>
      <c r="C288" s="750">
        <v>15</v>
      </c>
      <c r="D288" s="715"/>
      <c r="E288" s="975">
        <f t="shared" si="15"/>
        <v>15000</v>
      </c>
    </row>
    <row r="289" spans="1:5" ht="27.75" customHeight="1" x14ac:dyDescent="0.25">
      <c r="A289" s="726" t="s">
        <v>1242</v>
      </c>
      <c r="B289" s="725" t="s">
        <v>949</v>
      </c>
      <c r="C289" s="750">
        <v>15</v>
      </c>
      <c r="D289" s="715"/>
      <c r="E289" s="975">
        <f t="shared" si="15"/>
        <v>15000</v>
      </c>
    </row>
    <row r="290" spans="1:5" ht="27.75" customHeight="1" x14ac:dyDescent="0.25">
      <c r="A290" s="726" t="s">
        <v>1243</v>
      </c>
      <c r="B290" s="725" t="s">
        <v>949</v>
      </c>
      <c r="C290" s="750">
        <v>15</v>
      </c>
      <c r="D290" s="715"/>
      <c r="E290" s="975">
        <f t="shared" si="15"/>
        <v>15000</v>
      </c>
    </row>
    <row r="291" spans="1:5" ht="27.75" customHeight="1" x14ac:dyDescent="0.25">
      <c r="A291" s="726" t="s">
        <v>1244</v>
      </c>
      <c r="B291" s="725" t="s">
        <v>949</v>
      </c>
      <c r="C291" s="750">
        <v>12</v>
      </c>
      <c r="D291" s="715"/>
      <c r="E291" s="975">
        <f t="shared" si="15"/>
        <v>12000</v>
      </c>
    </row>
    <row r="292" spans="1:5" ht="27.75" customHeight="1" x14ac:dyDescent="0.25">
      <c r="A292" s="726" t="s">
        <v>1245</v>
      </c>
      <c r="B292" s="725" t="s">
        <v>949</v>
      </c>
      <c r="C292" s="750">
        <v>15</v>
      </c>
      <c r="D292" s="715"/>
      <c r="E292" s="975">
        <f t="shared" si="15"/>
        <v>15000</v>
      </c>
    </row>
    <row r="293" spans="1:5" ht="27.75" customHeight="1" x14ac:dyDescent="0.25">
      <c r="A293" s="726" t="s">
        <v>1246</v>
      </c>
      <c r="B293" s="725" t="s">
        <v>949</v>
      </c>
      <c r="C293" s="750">
        <v>30</v>
      </c>
      <c r="D293" s="715"/>
      <c r="E293" s="975">
        <f t="shared" si="15"/>
        <v>30000</v>
      </c>
    </row>
    <row r="294" spans="1:5" ht="27.75" customHeight="1" x14ac:dyDescent="0.25">
      <c r="A294" s="726" t="s">
        <v>1247</v>
      </c>
      <c r="B294" s="725" t="s">
        <v>949</v>
      </c>
      <c r="C294" s="750">
        <v>18</v>
      </c>
      <c r="D294" s="715"/>
      <c r="E294" s="975">
        <f t="shared" si="15"/>
        <v>18000</v>
      </c>
    </row>
    <row r="295" spans="1:5" ht="27.75" customHeight="1" x14ac:dyDescent="0.25">
      <c r="A295" s="726" t="s">
        <v>1248</v>
      </c>
      <c r="B295" s="725" t="s">
        <v>949</v>
      </c>
      <c r="C295" s="750">
        <v>55</v>
      </c>
      <c r="D295" s="715"/>
      <c r="E295" s="975">
        <f t="shared" si="15"/>
        <v>55000</v>
      </c>
    </row>
    <row r="296" spans="1:5" ht="27.75" customHeight="1" x14ac:dyDescent="0.25">
      <c r="A296" s="726" t="s">
        <v>1249</v>
      </c>
      <c r="B296" s="725" t="s">
        <v>949</v>
      </c>
      <c r="C296" s="750">
        <v>30</v>
      </c>
      <c r="D296" s="715"/>
      <c r="E296" s="975">
        <f t="shared" si="15"/>
        <v>30000</v>
      </c>
    </row>
    <row r="297" spans="1:5" ht="27.75" customHeight="1" x14ac:dyDescent="0.25">
      <c r="A297" s="726" t="s">
        <v>1250</v>
      </c>
      <c r="B297" s="725" t="s">
        <v>949</v>
      </c>
      <c r="C297" s="750">
        <v>40</v>
      </c>
      <c r="D297" s="715"/>
      <c r="E297" s="975">
        <f t="shared" si="15"/>
        <v>40000</v>
      </c>
    </row>
    <row r="298" spans="1:5" ht="27.75" customHeight="1" x14ac:dyDescent="0.25">
      <c r="A298" s="726" t="s">
        <v>1251</v>
      </c>
      <c r="B298" s="725" t="s">
        <v>949</v>
      </c>
      <c r="C298" s="750">
        <v>40</v>
      </c>
      <c r="D298" s="715"/>
      <c r="E298" s="975">
        <f t="shared" si="15"/>
        <v>40000</v>
      </c>
    </row>
    <row r="299" spans="1:5" ht="27.75" customHeight="1" x14ac:dyDescent="0.25">
      <c r="A299" s="726" t="s">
        <v>1252</v>
      </c>
      <c r="B299" s="725" t="s">
        <v>949</v>
      </c>
      <c r="C299" s="750">
        <v>12</v>
      </c>
      <c r="D299" s="715"/>
      <c r="E299" s="975">
        <f t="shared" si="15"/>
        <v>12000</v>
      </c>
    </row>
    <row r="300" spans="1:5" ht="27.75" customHeight="1" x14ac:dyDescent="0.25">
      <c r="A300" s="726" t="s">
        <v>1253</v>
      </c>
      <c r="B300" s="725" t="s">
        <v>949</v>
      </c>
      <c r="C300" s="750">
        <v>55</v>
      </c>
      <c r="D300" s="715"/>
      <c r="E300" s="975">
        <f t="shared" si="15"/>
        <v>55000</v>
      </c>
    </row>
    <row r="301" spans="1:5" ht="27.75" customHeight="1" x14ac:dyDescent="0.25">
      <c r="A301" s="726" t="s">
        <v>1254</v>
      </c>
      <c r="B301" s="725" t="s">
        <v>949</v>
      </c>
      <c r="C301" s="750">
        <v>40</v>
      </c>
      <c r="D301" s="715"/>
      <c r="E301" s="975">
        <f t="shared" si="15"/>
        <v>40000</v>
      </c>
    </row>
    <row r="302" spans="1:5" ht="27.75" customHeight="1" x14ac:dyDescent="0.25">
      <c r="A302" s="726" t="s">
        <v>1255</v>
      </c>
      <c r="B302" s="725" t="s">
        <v>949</v>
      </c>
      <c r="C302" s="750">
        <v>45</v>
      </c>
      <c r="D302" s="715"/>
      <c r="E302" s="975">
        <f t="shared" si="15"/>
        <v>45000</v>
      </c>
    </row>
    <row r="303" spans="1:5" ht="27.75" customHeight="1" x14ac:dyDescent="0.25">
      <c r="A303" s="726" t="s">
        <v>1256</v>
      </c>
      <c r="B303" s="725" t="s">
        <v>949</v>
      </c>
      <c r="C303" s="750">
        <v>40</v>
      </c>
      <c r="D303" s="715"/>
      <c r="E303" s="975">
        <f t="shared" si="15"/>
        <v>40000</v>
      </c>
    </row>
    <row r="304" spans="1:5" ht="27.75" customHeight="1" x14ac:dyDescent="0.25">
      <c r="A304" s="726" t="s">
        <v>1257</v>
      </c>
      <c r="B304" s="725" t="s">
        <v>949</v>
      </c>
      <c r="C304" s="750">
        <v>40</v>
      </c>
      <c r="D304" s="715"/>
      <c r="E304" s="975">
        <f t="shared" si="15"/>
        <v>40000</v>
      </c>
    </row>
    <row r="305" spans="1:5" ht="27.75" customHeight="1" x14ac:dyDescent="0.25">
      <c r="A305" s="726" t="s">
        <v>1258</v>
      </c>
      <c r="B305" s="725" t="s">
        <v>949</v>
      </c>
      <c r="C305" s="750">
        <v>35</v>
      </c>
      <c r="D305" s="715"/>
      <c r="E305" s="975">
        <f t="shared" si="15"/>
        <v>35000</v>
      </c>
    </row>
    <row r="306" spans="1:5" ht="27.75" customHeight="1" x14ac:dyDescent="0.25">
      <c r="A306" s="726" t="s">
        <v>1259</v>
      </c>
      <c r="B306" s="725" t="s">
        <v>949</v>
      </c>
      <c r="C306" s="750">
        <v>55</v>
      </c>
      <c r="D306" s="715"/>
      <c r="E306" s="975">
        <f t="shared" si="15"/>
        <v>55000</v>
      </c>
    </row>
    <row r="307" spans="1:5" ht="27.75" customHeight="1" x14ac:dyDescent="0.25">
      <c r="A307" s="726" t="s">
        <v>1260</v>
      </c>
      <c r="B307" s="725" t="s">
        <v>949</v>
      </c>
      <c r="C307" s="750">
        <v>27</v>
      </c>
      <c r="D307" s="715"/>
      <c r="E307" s="975">
        <f t="shared" si="15"/>
        <v>27000</v>
      </c>
    </row>
    <row r="308" spans="1:5" ht="27.75" customHeight="1" x14ac:dyDescent="0.25">
      <c r="A308" s="726" t="s">
        <v>1261</v>
      </c>
      <c r="B308" s="725" t="s">
        <v>949</v>
      </c>
      <c r="C308" s="750">
        <v>9</v>
      </c>
      <c r="D308" s="715"/>
      <c r="E308" s="975">
        <f t="shared" si="15"/>
        <v>9000</v>
      </c>
    </row>
    <row r="309" spans="1:5" ht="27.75" customHeight="1" x14ac:dyDescent="0.25">
      <c r="A309" s="726" t="s">
        <v>1262</v>
      </c>
      <c r="B309" s="725" t="s">
        <v>949</v>
      </c>
      <c r="C309" s="750">
        <v>15</v>
      </c>
      <c r="D309" s="715"/>
      <c r="E309" s="975">
        <f t="shared" si="15"/>
        <v>15000</v>
      </c>
    </row>
    <row r="310" spans="1:5" ht="27.75" customHeight="1" x14ac:dyDescent="0.25">
      <c r="A310" s="720" t="s">
        <v>1263</v>
      </c>
      <c r="B310" s="725"/>
      <c r="C310" s="750"/>
      <c r="D310" s="715"/>
      <c r="E310" s="975">
        <f t="shared" si="15"/>
        <v>0</v>
      </c>
    </row>
    <row r="311" spans="1:5" ht="27.75" customHeight="1" x14ac:dyDescent="0.25">
      <c r="A311" s="726" t="s">
        <v>1264</v>
      </c>
      <c r="B311" s="725" t="s">
        <v>949</v>
      </c>
      <c r="C311" s="750">
        <v>7430</v>
      </c>
      <c r="D311" s="976">
        <f>C311/3</f>
        <v>2476.6666666666665</v>
      </c>
      <c r="E311" s="975">
        <f t="shared" si="15"/>
        <v>7430000</v>
      </c>
    </row>
    <row r="312" spans="1:5" ht="27.75" customHeight="1" x14ac:dyDescent="0.25">
      <c r="A312" s="726" t="s">
        <v>1265</v>
      </c>
      <c r="B312" s="725" t="s">
        <v>949</v>
      </c>
      <c r="C312" s="750">
        <v>3500</v>
      </c>
      <c r="D312" s="976">
        <f t="shared" ref="D312:D375" si="16">C312/3</f>
        <v>1166.6666666666667</v>
      </c>
      <c r="E312" s="975">
        <f t="shared" si="15"/>
        <v>3500000</v>
      </c>
    </row>
    <row r="313" spans="1:5" ht="27.75" customHeight="1" x14ac:dyDescent="0.25">
      <c r="A313" s="726" t="s">
        <v>1266</v>
      </c>
      <c r="B313" s="725" t="s">
        <v>949</v>
      </c>
      <c r="C313" s="750">
        <v>6463.95</v>
      </c>
      <c r="D313" s="976">
        <f t="shared" si="16"/>
        <v>2154.65</v>
      </c>
      <c r="E313" s="975">
        <f t="shared" si="15"/>
        <v>6463950</v>
      </c>
    </row>
    <row r="314" spans="1:5" ht="27.75" customHeight="1" x14ac:dyDescent="0.25">
      <c r="A314" s="726" t="s">
        <v>1267</v>
      </c>
      <c r="B314" s="725" t="s">
        <v>949</v>
      </c>
      <c r="C314" s="750">
        <v>4919.1000000000004</v>
      </c>
      <c r="D314" s="976">
        <f t="shared" si="16"/>
        <v>1639.7</v>
      </c>
      <c r="E314" s="975">
        <f t="shared" si="15"/>
        <v>4919100</v>
      </c>
    </row>
    <row r="315" spans="1:5" ht="27.75" customHeight="1" x14ac:dyDescent="0.25">
      <c r="A315" s="726" t="s">
        <v>1268</v>
      </c>
      <c r="B315" s="725" t="s">
        <v>949</v>
      </c>
      <c r="C315" s="750">
        <v>2860</v>
      </c>
      <c r="D315" s="976">
        <f t="shared" si="16"/>
        <v>953.33333333333337</v>
      </c>
      <c r="E315" s="975">
        <f t="shared" si="15"/>
        <v>2860000</v>
      </c>
    </row>
    <row r="316" spans="1:5" ht="27.75" customHeight="1" x14ac:dyDescent="0.25">
      <c r="A316" s="726" t="s">
        <v>1269</v>
      </c>
      <c r="B316" s="725" t="s">
        <v>949</v>
      </c>
      <c r="C316" s="750">
        <v>320</v>
      </c>
      <c r="D316" s="976">
        <f t="shared" si="16"/>
        <v>106.66666666666667</v>
      </c>
      <c r="E316" s="975">
        <f t="shared" si="15"/>
        <v>320000</v>
      </c>
    </row>
    <row r="317" spans="1:5" ht="27.75" customHeight="1" x14ac:dyDescent="0.25">
      <c r="A317" s="726" t="s">
        <v>1270</v>
      </c>
      <c r="B317" s="725" t="s">
        <v>949</v>
      </c>
      <c r="C317" s="750">
        <v>515</v>
      </c>
      <c r="D317" s="976">
        <f t="shared" si="16"/>
        <v>171.66666666666666</v>
      </c>
      <c r="E317" s="975">
        <f t="shared" si="15"/>
        <v>515000</v>
      </c>
    </row>
    <row r="318" spans="1:5" ht="27.75" customHeight="1" x14ac:dyDescent="0.25">
      <c r="A318" s="726" t="s">
        <v>1271</v>
      </c>
      <c r="B318" s="725" t="s">
        <v>949</v>
      </c>
      <c r="C318" s="750">
        <v>1098.1500000000001</v>
      </c>
      <c r="D318" s="976">
        <f t="shared" si="16"/>
        <v>366.05</v>
      </c>
      <c r="E318" s="975">
        <f t="shared" ref="E318:E360" si="17">C318*1000</f>
        <v>1098150</v>
      </c>
    </row>
    <row r="319" spans="1:5" ht="27.75" customHeight="1" x14ac:dyDescent="0.25">
      <c r="A319" s="726" t="s">
        <v>1272</v>
      </c>
      <c r="B319" s="725" t="s">
        <v>949</v>
      </c>
      <c r="C319" s="750">
        <v>1230</v>
      </c>
      <c r="D319" s="976">
        <f t="shared" si="16"/>
        <v>410</v>
      </c>
      <c r="E319" s="975">
        <f t="shared" si="17"/>
        <v>1230000</v>
      </c>
    </row>
    <row r="320" spans="1:5" ht="27.75" customHeight="1" x14ac:dyDescent="0.25">
      <c r="A320" s="726" t="s">
        <v>1273</v>
      </c>
      <c r="B320" s="725" t="s">
        <v>949</v>
      </c>
      <c r="C320" s="750">
        <v>990</v>
      </c>
      <c r="D320" s="976">
        <f t="shared" si="16"/>
        <v>330</v>
      </c>
      <c r="E320" s="975">
        <f t="shared" si="17"/>
        <v>990000</v>
      </c>
    </row>
    <row r="321" spans="1:5" ht="27.75" customHeight="1" x14ac:dyDescent="0.25">
      <c r="A321" s="726" t="s">
        <v>1274</v>
      </c>
      <c r="B321" s="725" t="s">
        <v>949</v>
      </c>
      <c r="C321" s="750">
        <v>761</v>
      </c>
      <c r="D321" s="976">
        <f t="shared" si="16"/>
        <v>253.66666666666666</v>
      </c>
      <c r="E321" s="975">
        <f t="shared" si="17"/>
        <v>761000</v>
      </c>
    </row>
    <row r="322" spans="1:5" ht="27.75" customHeight="1" x14ac:dyDescent="0.25">
      <c r="A322" s="726" t="s">
        <v>1275</v>
      </c>
      <c r="B322" s="725" t="s">
        <v>949</v>
      </c>
      <c r="C322" s="750">
        <v>750</v>
      </c>
      <c r="D322" s="976">
        <f t="shared" si="16"/>
        <v>250</v>
      </c>
      <c r="E322" s="975">
        <f t="shared" si="17"/>
        <v>750000</v>
      </c>
    </row>
    <row r="323" spans="1:5" ht="27.75" customHeight="1" x14ac:dyDescent="0.25">
      <c r="A323" s="738" t="s">
        <v>1276</v>
      </c>
      <c r="B323" s="725" t="s">
        <v>949</v>
      </c>
      <c r="C323" s="750">
        <v>6725</v>
      </c>
      <c r="D323" s="976">
        <f t="shared" si="16"/>
        <v>2241.6666666666665</v>
      </c>
      <c r="E323" s="975">
        <f t="shared" si="17"/>
        <v>6725000</v>
      </c>
    </row>
    <row r="324" spans="1:5" ht="27.75" customHeight="1" x14ac:dyDescent="0.25">
      <c r="A324" s="738" t="s">
        <v>1277</v>
      </c>
      <c r="B324" s="725" t="s">
        <v>949</v>
      </c>
      <c r="C324" s="750">
        <v>8055</v>
      </c>
      <c r="D324" s="976">
        <f t="shared" si="16"/>
        <v>2685</v>
      </c>
      <c r="E324" s="975">
        <f t="shared" si="17"/>
        <v>8055000</v>
      </c>
    </row>
    <row r="325" spans="1:5" ht="27.75" customHeight="1" x14ac:dyDescent="0.25">
      <c r="A325" s="738" t="s">
        <v>1278</v>
      </c>
      <c r="B325" s="725" t="s">
        <v>949</v>
      </c>
      <c r="C325" s="750">
        <v>14215</v>
      </c>
      <c r="D325" s="976">
        <f t="shared" si="16"/>
        <v>4738.333333333333</v>
      </c>
      <c r="E325" s="975">
        <f t="shared" si="17"/>
        <v>14215000</v>
      </c>
    </row>
    <row r="326" spans="1:5" ht="27.75" customHeight="1" x14ac:dyDescent="0.25">
      <c r="A326" s="738" t="s">
        <v>1278</v>
      </c>
      <c r="B326" s="725"/>
      <c r="C326" s="750">
        <v>17140</v>
      </c>
      <c r="D326" s="976">
        <f t="shared" si="16"/>
        <v>5713.333333333333</v>
      </c>
      <c r="E326" s="975">
        <f t="shared" si="17"/>
        <v>17140000</v>
      </c>
    </row>
    <row r="327" spans="1:5" ht="27.75" customHeight="1" x14ac:dyDescent="0.25">
      <c r="A327" s="720" t="s">
        <v>1279</v>
      </c>
      <c r="B327" s="742"/>
      <c r="C327" s="751"/>
      <c r="D327" s="976">
        <f t="shared" si="16"/>
        <v>0</v>
      </c>
      <c r="E327" s="975">
        <f t="shared" si="17"/>
        <v>0</v>
      </c>
    </row>
    <row r="328" spans="1:5" ht="27.75" customHeight="1" x14ac:dyDescent="0.25">
      <c r="A328" s="726" t="s">
        <v>1280</v>
      </c>
      <c r="B328" s="725" t="s">
        <v>949</v>
      </c>
      <c r="C328" s="750">
        <v>1484</v>
      </c>
      <c r="D328" s="976">
        <f t="shared" si="16"/>
        <v>494.66666666666669</v>
      </c>
      <c r="E328" s="975">
        <f t="shared" si="17"/>
        <v>1484000</v>
      </c>
    </row>
    <row r="329" spans="1:5" ht="27.75" customHeight="1" x14ac:dyDescent="0.25">
      <c r="A329" s="726" t="s">
        <v>1281</v>
      </c>
      <c r="B329" s="725" t="s">
        <v>949</v>
      </c>
      <c r="C329" s="750">
        <v>800</v>
      </c>
      <c r="D329" s="976">
        <f t="shared" si="16"/>
        <v>266.66666666666669</v>
      </c>
      <c r="E329" s="975">
        <f t="shared" si="17"/>
        <v>800000</v>
      </c>
    </row>
    <row r="330" spans="1:5" ht="27.75" customHeight="1" x14ac:dyDescent="0.25">
      <c r="A330" s="726" t="s">
        <v>1282</v>
      </c>
      <c r="B330" s="725" t="s">
        <v>949</v>
      </c>
      <c r="C330" s="750">
        <v>990</v>
      </c>
      <c r="D330" s="976">
        <f t="shared" si="16"/>
        <v>330</v>
      </c>
      <c r="E330" s="975">
        <f t="shared" si="17"/>
        <v>990000</v>
      </c>
    </row>
    <row r="331" spans="1:5" ht="27.75" customHeight="1" x14ac:dyDescent="0.25">
      <c r="A331" s="726" t="s">
        <v>1283</v>
      </c>
      <c r="B331" s="725" t="s">
        <v>949</v>
      </c>
      <c r="C331" s="750">
        <v>1232</v>
      </c>
      <c r="D331" s="976">
        <f t="shared" si="16"/>
        <v>410.66666666666669</v>
      </c>
      <c r="E331" s="975">
        <f t="shared" si="17"/>
        <v>1232000</v>
      </c>
    </row>
    <row r="332" spans="1:5" ht="27.75" customHeight="1" x14ac:dyDescent="0.25">
      <c r="A332" s="720" t="s">
        <v>1284</v>
      </c>
      <c r="B332" s="742"/>
      <c r="C332" s="751"/>
      <c r="D332" s="976">
        <f t="shared" si="16"/>
        <v>0</v>
      </c>
      <c r="E332" s="975">
        <f t="shared" si="17"/>
        <v>0</v>
      </c>
    </row>
    <row r="333" spans="1:5" ht="27.75" customHeight="1" x14ac:dyDescent="0.25">
      <c r="A333" s="726" t="s">
        <v>1285</v>
      </c>
      <c r="B333" s="725" t="s">
        <v>949</v>
      </c>
      <c r="C333" s="750">
        <v>850</v>
      </c>
      <c r="D333" s="976">
        <f t="shared" si="16"/>
        <v>283.33333333333331</v>
      </c>
      <c r="E333" s="975">
        <f t="shared" si="17"/>
        <v>850000</v>
      </c>
    </row>
    <row r="334" spans="1:5" ht="27.75" customHeight="1" x14ac:dyDescent="0.25">
      <c r="A334" s="726" t="s">
        <v>1286</v>
      </c>
      <c r="B334" s="725" t="s">
        <v>949</v>
      </c>
      <c r="C334" s="750">
        <v>1000</v>
      </c>
      <c r="D334" s="976">
        <f t="shared" si="16"/>
        <v>333.33333333333331</v>
      </c>
      <c r="E334" s="975">
        <f t="shared" si="17"/>
        <v>1000000</v>
      </c>
    </row>
    <row r="335" spans="1:5" ht="27.75" customHeight="1" x14ac:dyDescent="0.25">
      <c r="A335" s="726" t="s">
        <v>1287</v>
      </c>
      <c r="B335" s="725" t="s">
        <v>949</v>
      </c>
      <c r="C335" s="750">
        <v>1200</v>
      </c>
      <c r="D335" s="976">
        <f t="shared" si="16"/>
        <v>400</v>
      </c>
      <c r="E335" s="975">
        <f t="shared" si="17"/>
        <v>1200000</v>
      </c>
    </row>
    <row r="336" spans="1:5" ht="27.75" customHeight="1" x14ac:dyDescent="0.25">
      <c r="A336" s="726" t="s">
        <v>1288</v>
      </c>
      <c r="B336" s="725" t="s">
        <v>949</v>
      </c>
      <c r="C336" s="750">
        <v>1300</v>
      </c>
      <c r="D336" s="976">
        <f t="shared" si="16"/>
        <v>433.33333333333331</v>
      </c>
      <c r="E336" s="975">
        <f t="shared" si="17"/>
        <v>1300000</v>
      </c>
    </row>
    <row r="337" spans="1:5" ht="27.75" customHeight="1" x14ac:dyDescent="0.25">
      <c r="A337" s="726" t="s">
        <v>1289</v>
      </c>
      <c r="B337" s="725" t="s">
        <v>949</v>
      </c>
      <c r="C337" s="750">
        <v>786</v>
      </c>
      <c r="D337" s="976">
        <f t="shared" si="16"/>
        <v>262</v>
      </c>
      <c r="E337" s="975">
        <f t="shared" si="17"/>
        <v>786000</v>
      </c>
    </row>
    <row r="338" spans="1:5" ht="27.75" customHeight="1" x14ac:dyDescent="0.25">
      <c r="A338" s="726" t="s">
        <v>1290</v>
      </c>
      <c r="B338" s="725" t="s">
        <v>949</v>
      </c>
      <c r="C338" s="750">
        <v>594</v>
      </c>
      <c r="D338" s="976">
        <f t="shared" si="16"/>
        <v>198</v>
      </c>
      <c r="E338" s="975">
        <f t="shared" si="17"/>
        <v>594000</v>
      </c>
    </row>
    <row r="339" spans="1:5" ht="27.75" customHeight="1" x14ac:dyDescent="0.25">
      <c r="A339" s="726" t="s">
        <v>1291</v>
      </c>
      <c r="B339" s="725" t="s">
        <v>949</v>
      </c>
      <c r="C339" s="750">
        <v>918</v>
      </c>
      <c r="D339" s="976">
        <f t="shared" si="16"/>
        <v>306</v>
      </c>
      <c r="E339" s="975">
        <f t="shared" si="17"/>
        <v>918000</v>
      </c>
    </row>
    <row r="340" spans="1:5" ht="27.75" customHeight="1" x14ac:dyDescent="0.25">
      <c r="A340" s="726" t="s">
        <v>1292</v>
      </c>
      <c r="B340" s="725" t="s">
        <v>949</v>
      </c>
      <c r="C340" s="750">
        <v>1136</v>
      </c>
      <c r="D340" s="976">
        <f t="shared" si="16"/>
        <v>378.66666666666669</v>
      </c>
      <c r="E340" s="975">
        <f t="shared" si="17"/>
        <v>1136000</v>
      </c>
    </row>
    <row r="341" spans="1:5" ht="27.75" customHeight="1" x14ac:dyDescent="0.25">
      <c r="A341" s="726" t="s">
        <v>1293</v>
      </c>
      <c r="B341" s="725" t="s">
        <v>949</v>
      </c>
      <c r="C341" s="750">
        <v>850</v>
      </c>
      <c r="D341" s="976">
        <f t="shared" si="16"/>
        <v>283.33333333333331</v>
      </c>
      <c r="E341" s="975">
        <f t="shared" si="17"/>
        <v>850000</v>
      </c>
    </row>
    <row r="342" spans="1:5" ht="27.75" customHeight="1" x14ac:dyDescent="0.25">
      <c r="A342" s="726" t="s">
        <v>1294</v>
      </c>
      <c r="B342" s="725" t="s">
        <v>949</v>
      </c>
      <c r="C342" s="750">
        <v>500</v>
      </c>
      <c r="D342" s="976">
        <f t="shared" si="16"/>
        <v>166.66666666666666</v>
      </c>
      <c r="E342" s="975">
        <f t="shared" si="17"/>
        <v>500000</v>
      </c>
    </row>
    <row r="343" spans="1:5" ht="27.75" customHeight="1" x14ac:dyDescent="0.25">
      <c r="A343" s="738" t="s">
        <v>1295</v>
      </c>
      <c r="B343" s="725" t="s">
        <v>949</v>
      </c>
      <c r="C343" s="753">
        <v>2000</v>
      </c>
      <c r="D343" s="976">
        <f t="shared" si="16"/>
        <v>666.66666666666663</v>
      </c>
      <c r="E343" s="975">
        <f t="shared" si="17"/>
        <v>2000000</v>
      </c>
    </row>
    <row r="344" spans="1:5" ht="27.75" customHeight="1" x14ac:dyDescent="0.25">
      <c r="A344" s="754" t="s">
        <v>1296</v>
      </c>
      <c r="B344" s="743"/>
      <c r="C344" s="753"/>
      <c r="D344" s="976">
        <f t="shared" si="16"/>
        <v>0</v>
      </c>
      <c r="E344" s="975">
        <f t="shared" si="17"/>
        <v>0</v>
      </c>
    </row>
    <row r="345" spans="1:5" ht="27.75" customHeight="1" x14ac:dyDescent="0.25">
      <c r="A345" s="738" t="s">
        <v>1297</v>
      </c>
      <c r="B345" s="744" t="s">
        <v>949</v>
      </c>
      <c r="C345" s="753">
        <v>26</v>
      </c>
      <c r="D345" s="976">
        <f t="shared" si="16"/>
        <v>8.6666666666666661</v>
      </c>
      <c r="E345" s="975">
        <f t="shared" si="17"/>
        <v>26000</v>
      </c>
    </row>
    <row r="346" spans="1:5" ht="27.75" customHeight="1" x14ac:dyDescent="0.25">
      <c r="A346" s="738" t="s">
        <v>1298</v>
      </c>
      <c r="B346" s="744" t="s">
        <v>949</v>
      </c>
      <c r="C346" s="753">
        <v>42</v>
      </c>
      <c r="D346" s="976">
        <f t="shared" si="16"/>
        <v>14</v>
      </c>
      <c r="E346" s="975">
        <f t="shared" si="17"/>
        <v>42000</v>
      </c>
    </row>
    <row r="347" spans="1:5" ht="27.75" customHeight="1" x14ac:dyDescent="0.25">
      <c r="A347" s="738" t="s">
        <v>1299</v>
      </c>
      <c r="B347" s="744" t="s">
        <v>949</v>
      </c>
      <c r="C347" s="753">
        <v>11</v>
      </c>
      <c r="D347" s="976">
        <f t="shared" si="16"/>
        <v>3.6666666666666665</v>
      </c>
      <c r="E347" s="975">
        <f t="shared" si="17"/>
        <v>11000</v>
      </c>
    </row>
    <row r="348" spans="1:5" ht="27.75" customHeight="1" x14ac:dyDescent="0.25">
      <c r="A348" s="738" t="s">
        <v>1300</v>
      </c>
      <c r="B348" s="744" t="s">
        <v>949</v>
      </c>
      <c r="C348" s="753">
        <v>44</v>
      </c>
      <c r="D348" s="976">
        <f t="shared" si="16"/>
        <v>14.666666666666666</v>
      </c>
      <c r="E348" s="975">
        <f t="shared" si="17"/>
        <v>44000</v>
      </c>
    </row>
    <row r="349" spans="1:5" ht="27.75" customHeight="1" x14ac:dyDescent="0.25">
      <c r="A349" s="738" t="s">
        <v>1301</v>
      </c>
      <c r="B349" s="744" t="s">
        <v>949</v>
      </c>
      <c r="C349" s="753">
        <v>50</v>
      </c>
      <c r="D349" s="976">
        <f t="shared" si="16"/>
        <v>16.666666666666668</v>
      </c>
      <c r="E349" s="975">
        <f t="shared" si="17"/>
        <v>50000</v>
      </c>
    </row>
    <row r="350" spans="1:5" ht="27.75" customHeight="1" x14ac:dyDescent="0.25">
      <c r="A350" s="738" t="s">
        <v>1302</v>
      </c>
      <c r="B350" s="744" t="s">
        <v>949</v>
      </c>
      <c r="C350" s="753">
        <v>40</v>
      </c>
      <c r="D350" s="976">
        <f t="shared" si="16"/>
        <v>13.333333333333334</v>
      </c>
      <c r="E350" s="975">
        <f t="shared" si="17"/>
        <v>40000</v>
      </c>
    </row>
    <row r="351" spans="1:5" ht="27.75" customHeight="1" x14ac:dyDescent="0.25">
      <c r="A351" s="738" t="s">
        <v>1303</v>
      </c>
      <c r="B351" s="744" t="s">
        <v>949</v>
      </c>
      <c r="C351" s="753">
        <v>30</v>
      </c>
      <c r="D351" s="976">
        <f t="shared" si="16"/>
        <v>10</v>
      </c>
      <c r="E351" s="975">
        <f t="shared" si="17"/>
        <v>30000</v>
      </c>
    </row>
    <row r="352" spans="1:5" ht="27.75" customHeight="1" x14ac:dyDescent="0.25">
      <c r="A352" s="738" t="s">
        <v>1304</v>
      </c>
      <c r="B352" s="744" t="s">
        <v>949</v>
      </c>
      <c r="C352" s="753">
        <v>12</v>
      </c>
      <c r="D352" s="976">
        <f t="shared" si="16"/>
        <v>4</v>
      </c>
      <c r="E352" s="975">
        <f t="shared" si="17"/>
        <v>12000</v>
      </c>
    </row>
    <row r="353" spans="1:5" ht="27.75" customHeight="1" x14ac:dyDescent="0.25">
      <c r="A353" s="738" t="s">
        <v>1305</v>
      </c>
      <c r="B353" s="744" t="s">
        <v>949</v>
      </c>
      <c r="C353" s="753">
        <v>20</v>
      </c>
      <c r="D353" s="976">
        <f t="shared" si="16"/>
        <v>6.666666666666667</v>
      </c>
      <c r="E353" s="975">
        <f t="shared" si="17"/>
        <v>20000</v>
      </c>
    </row>
    <row r="354" spans="1:5" ht="27.75" customHeight="1" x14ac:dyDescent="0.25">
      <c r="A354" s="738" t="s">
        <v>1306</v>
      </c>
      <c r="B354" s="744" t="s">
        <v>949</v>
      </c>
      <c r="C354" s="753">
        <v>140</v>
      </c>
      <c r="D354" s="976">
        <f t="shared" si="16"/>
        <v>46.666666666666664</v>
      </c>
      <c r="E354" s="975">
        <f t="shared" si="17"/>
        <v>140000</v>
      </c>
    </row>
    <row r="355" spans="1:5" ht="27.75" customHeight="1" x14ac:dyDescent="0.25">
      <c r="A355" s="738" t="s">
        <v>1307</v>
      </c>
      <c r="B355" s="744" t="s">
        <v>949</v>
      </c>
      <c r="C355" s="753">
        <v>30</v>
      </c>
      <c r="D355" s="976">
        <f t="shared" si="16"/>
        <v>10</v>
      </c>
      <c r="E355" s="975">
        <f t="shared" si="17"/>
        <v>30000</v>
      </c>
    </row>
    <row r="356" spans="1:5" ht="27.75" customHeight="1" x14ac:dyDescent="0.25">
      <c r="A356" s="738" t="s">
        <v>1308</v>
      </c>
      <c r="B356" s="744" t="s">
        <v>1309</v>
      </c>
      <c r="C356" s="750">
        <v>1</v>
      </c>
      <c r="D356" s="976">
        <f t="shared" si="16"/>
        <v>0.33333333333333331</v>
      </c>
      <c r="E356" s="975">
        <f t="shared" si="17"/>
        <v>1000</v>
      </c>
    </row>
    <row r="357" spans="1:5" ht="27.75" customHeight="1" x14ac:dyDescent="0.25">
      <c r="A357" s="738" t="s">
        <v>1310</v>
      </c>
      <c r="B357" s="744" t="s">
        <v>1309</v>
      </c>
      <c r="C357" s="750">
        <v>1.2</v>
      </c>
      <c r="D357" s="976">
        <f t="shared" si="16"/>
        <v>0.39999999999999997</v>
      </c>
      <c r="E357" s="975">
        <f t="shared" si="17"/>
        <v>1200</v>
      </c>
    </row>
    <row r="358" spans="1:5" ht="27.75" customHeight="1" x14ac:dyDescent="0.25">
      <c r="A358" s="738" t="s">
        <v>1311</v>
      </c>
      <c r="B358" s="744" t="s">
        <v>1309</v>
      </c>
      <c r="C358" s="750">
        <v>2</v>
      </c>
      <c r="D358" s="976">
        <f t="shared" si="16"/>
        <v>0.66666666666666663</v>
      </c>
      <c r="E358" s="975">
        <f t="shared" si="17"/>
        <v>2000</v>
      </c>
    </row>
    <row r="359" spans="1:5" ht="27.75" customHeight="1" x14ac:dyDescent="0.25">
      <c r="A359" s="726" t="s">
        <v>1312</v>
      </c>
      <c r="B359" s="744" t="s">
        <v>1309</v>
      </c>
      <c r="C359" s="750">
        <v>20</v>
      </c>
      <c r="D359" s="976">
        <f t="shared" si="16"/>
        <v>6.666666666666667</v>
      </c>
      <c r="E359" s="975">
        <f t="shared" si="17"/>
        <v>20000</v>
      </c>
    </row>
    <row r="360" spans="1:5" ht="27.75" customHeight="1" x14ac:dyDescent="0.25">
      <c r="A360" s="726" t="s">
        <v>1313</v>
      </c>
      <c r="B360" s="744" t="s">
        <v>1309</v>
      </c>
      <c r="C360" s="750">
        <v>15</v>
      </c>
      <c r="D360" s="976">
        <f t="shared" si="16"/>
        <v>5</v>
      </c>
      <c r="E360" s="975">
        <f t="shared" si="17"/>
        <v>15000</v>
      </c>
    </row>
    <row r="361" spans="1:5" ht="37.5" customHeight="1" x14ac:dyDescent="0.25">
      <c r="A361" s="758" t="s">
        <v>1314</v>
      </c>
      <c r="B361" s="759" t="s">
        <v>1315</v>
      </c>
      <c r="C361" s="760">
        <v>4</v>
      </c>
      <c r="D361" s="976">
        <f t="shared" si="16"/>
        <v>1.3333333333333333</v>
      </c>
      <c r="E361" s="975"/>
    </row>
    <row r="362" spans="1:5" ht="27.75" customHeight="1" x14ac:dyDescent="0.25">
      <c r="A362" s="726" t="s">
        <v>1316</v>
      </c>
      <c r="B362" s="744" t="s">
        <v>949</v>
      </c>
      <c r="C362" s="750">
        <v>280</v>
      </c>
      <c r="D362" s="976">
        <f t="shared" si="16"/>
        <v>93.333333333333329</v>
      </c>
      <c r="E362" s="975"/>
    </row>
    <row r="363" spans="1:5" ht="27.75" customHeight="1" x14ac:dyDescent="0.25">
      <c r="A363" s="726" t="s">
        <v>1317</v>
      </c>
      <c r="B363" s="744" t="s">
        <v>949</v>
      </c>
      <c r="C363" s="750">
        <v>5</v>
      </c>
      <c r="D363" s="976">
        <f t="shared" si="16"/>
        <v>1.6666666666666667</v>
      </c>
      <c r="E363" s="975"/>
    </row>
    <row r="364" spans="1:5" ht="27.75" customHeight="1" x14ac:dyDescent="0.25">
      <c r="A364" s="726" t="s">
        <v>1318</v>
      </c>
      <c r="B364" s="725">
        <v>100</v>
      </c>
      <c r="C364" s="750">
        <v>0.4</v>
      </c>
      <c r="D364" s="976">
        <f t="shared" si="16"/>
        <v>0.13333333333333333</v>
      </c>
      <c r="E364" s="975"/>
    </row>
    <row r="365" spans="1:5" ht="27.75" customHeight="1" x14ac:dyDescent="0.25">
      <c r="A365" s="726" t="s">
        <v>1319</v>
      </c>
      <c r="B365" s="744" t="s">
        <v>1315</v>
      </c>
      <c r="C365" s="750">
        <v>1.7</v>
      </c>
      <c r="D365" s="976">
        <f t="shared" si="16"/>
        <v>0.56666666666666665</v>
      </c>
      <c r="E365" s="975"/>
    </row>
    <row r="366" spans="1:5" ht="27.75" customHeight="1" x14ac:dyDescent="0.25">
      <c r="A366" s="726" t="s">
        <v>1320</v>
      </c>
      <c r="B366" s="744" t="s">
        <v>1315</v>
      </c>
      <c r="C366" s="750">
        <v>1.65</v>
      </c>
      <c r="D366" s="976">
        <f t="shared" si="16"/>
        <v>0.54999999999999993</v>
      </c>
      <c r="E366" s="975"/>
    </row>
    <row r="367" spans="1:5" ht="27.75" customHeight="1" x14ac:dyDescent="0.25">
      <c r="A367" s="726" t="s">
        <v>1321</v>
      </c>
      <c r="B367" s="744" t="s">
        <v>1315</v>
      </c>
      <c r="C367" s="750">
        <v>3.6</v>
      </c>
      <c r="D367" s="976">
        <f t="shared" si="16"/>
        <v>1.2</v>
      </c>
      <c r="E367" s="975"/>
    </row>
    <row r="368" spans="1:5" ht="27.75" customHeight="1" x14ac:dyDescent="0.25">
      <c r="A368" s="726" t="s">
        <v>1322</v>
      </c>
      <c r="B368" s="744" t="s">
        <v>1315</v>
      </c>
      <c r="C368" s="750">
        <v>1.85</v>
      </c>
      <c r="D368" s="976">
        <f t="shared" si="16"/>
        <v>0.6166666666666667</v>
      </c>
      <c r="E368" s="975"/>
    </row>
    <row r="369" spans="1:5" ht="27.75" customHeight="1" x14ac:dyDescent="0.25">
      <c r="A369" s="726" t="s">
        <v>1323</v>
      </c>
      <c r="B369" s="744" t="s">
        <v>949</v>
      </c>
      <c r="C369" s="750">
        <v>2</v>
      </c>
      <c r="D369" s="976">
        <f t="shared" si="16"/>
        <v>0.66666666666666663</v>
      </c>
      <c r="E369" s="975"/>
    </row>
    <row r="370" spans="1:5" ht="27.75" customHeight="1" x14ac:dyDescent="0.25">
      <c r="A370" s="726" t="s">
        <v>1324</v>
      </c>
      <c r="B370" s="744" t="s">
        <v>1315</v>
      </c>
      <c r="C370" s="750">
        <v>1.65</v>
      </c>
      <c r="D370" s="976">
        <f t="shared" si="16"/>
        <v>0.54999999999999993</v>
      </c>
      <c r="E370" s="975"/>
    </row>
    <row r="371" spans="1:5" ht="27.75" customHeight="1" x14ac:dyDescent="0.25">
      <c r="A371" s="726" t="s">
        <v>1325</v>
      </c>
      <c r="B371" s="744" t="s">
        <v>1315</v>
      </c>
      <c r="C371" s="750">
        <v>1.65</v>
      </c>
      <c r="D371" s="976">
        <f t="shared" si="16"/>
        <v>0.54999999999999993</v>
      </c>
      <c r="E371" s="975"/>
    </row>
    <row r="372" spans="1:5" ht="27.75" customHeight="1" x14ac:dyDescent="0.25">
      <c r="A372" s="726" t="s">
        <v>1326</v>
      </c>
      <c r="B372" s="744" t="s">
        <v>1315</v>
      </c>
      <c r="C372" s="750">
        <v>1.65</v>
      </c>
      <c r="D372" s="976">
        <f t="shared" si="16"/>
        <v>0.54999999999999993</v>
      </c>
      <c r="E372" s="975"/>
    </row>
    <row r="373" spans="1:5" ht="27.75" customHeight="1" x14ac:dyDescent="0.25">
      <c r="A373" s="726" t="s">
        <v>1327</v>
      </c>
      <c r="B373" s="744" t="s">
        <v>1315</v>
      </c>
      <c r="C373" s="750">
        <v>1.65</v>
      </c>
      <c r="D373" s="976">
        <f t="shared" si="16"/>
        <v>0.54999999999999993</v>
      </c>
      <c r="E373" s="975"/>
    </row>
    <row r="374" spans="1:5" ht="27.75" customHeight="1" x14ac:dyDescent="0.25">
      <c r="A374" s="726" t="s">
        <v>1328</v>
      </c>
      <c r="B374" s="744" t="s">
        <v>1315</v>
      </c>
      <c r="C374" s="750">
        <v>2</v>
      </c>
      <c r="D374" s="976">
        <f t="shared" si="16"/>
        <v>0.66666666666666663</v>
      </c>
      <c r="E374" s="975"/>
    </row>
    <row r="375" spans="1:5" ht="39" customHeight="1" x14ac:dyDescent="0.25">
      <c r="A375" s="726" t="s">
        <v>1329</v>
      </c>
      <c r="B375" s="725" t="s">
        <v>949</v>
      </c>
      <c r="C375" s="750">
        <v>125</v>
      </c>
      <c r="D375" s="976">
        <f t="shared" si="16"/>
        <v>41.666666666666664</v>
      </c>
      <c r="E375" s="975"/>
    </row>
    <row r="376" spans="1:5" ht="44.25" customHeight="1" x14ac:dyDescent="0.25">
      <c r="A376" s="726" t="s">
        <v>1330</v>
      </c>
      <c r="B376" s="725" t="s">
        <v>949</v>
      </c>
      <c r="C376" s="750">
        <v>160</v>
      </c>
      <c r="D376" s="976">
        <f t="shared" ref="D376:D439" si="18">C376/3</f>
        <v>53.333333333333336</v>
      </c>
      <c r="E376" s="975"/>
    </row>
    <row r="377" spans="1:5" ht="27.75" customHeight="1" x14ac:dyDescent="0.25">
      <c r="A377" s="726" t="s">
        <v>1331</v>
      </c>
      <c r="B377" s="744" t="s">
        <v>949</v>
      </c>
      <c r="C377" s="750">
        <v>570</v>
      </c>
      <c r="D377" s="976">
        <f t="shared" si="18"/>
        <v>190</v>
      </c>
      <c r="E377" s="975"/>
    </row>
    <row r="378" spans="1:5" ht="27.75" customHeight="1" x14ac:dyDescent="0.25">
      <c r="A378" s="726" t="s">
        <v>1332</v>
      </c>
      <c r="B378" s="744" t="s">
        <v>949</v>
      </c>
      <c r="C378" s="750">
        <v>10</v>
      </c>
      <c r="D378" s="976">
        <f t="shared" si="18"/>
        <v>3.3333333333333335</v>
      </c>
      <c r="E378" s="975"/>
    </row>
    <row r="379" spans="1:5" ht="27.75" customHeight="1" x14ac:dyDescent="0.25">
      <c r="A379" s="726" t="s">
        <v>1333</v>
      </c>
      <c r="B379" s="744" t="s">
        <v>949</v>
      </c>
      <c r="C379" s="750">
        <v>170</v>
      </c>
      <c r="D379" s="976">
        <f t="shared" si="18"/>
        <v>56.666666666666664</v>
      </c>
      <c r="E379" s="975"/>
    </row>
    <row r="380" spans="1:5" ht="27.75" customHeight="1" x14ac:dyDescent="0.25">
      <c r="A380" s="726" t="s">
        <v>1334</v>
      </c>
      <c r="B380" s="744" t="s">
        <v>949</v>
      </c>
      <c r="C380" s="750">
        <v>20</v>
      </c>
      <c r="D380" s="976">
        <f t="shared" si="18"/>
        <v>6.666666666666667</v>
      </c>
      <c r="E380" s="975"/>
    </row>
    <row r="381" spans="1:5" ht="27.75" customHeight="1" x14ac:dyDescent="0.25">
      <c r="A381" s="726" t="s">
        <v>1335</v>
      </c>
      <c r="B381" s="744" t="s">
        <v>949</v>
      </c>
      <c r="C381" s="750">
        <v>260</v>
      </c>
      <c r="D381" s="976">
        <f t="shared" si="18"/>
        <v>86.666666666666671</v>
      </c>
      <c r="E381" s="975"/>
    </row>
    <row r="382" spans="1:5" ht="27.75" customHeight="1" x14ac:dyDescent="0.25">
      <c r="A382" s="738" t="s">
        <v>1336</v>
      </c>
      <c r="B382" s="725" t="s">
        <v>949</v>
      </c>
      <c r="C382" s="750">
        <v>55</v>
      </c>
      <c r="D382" s="976">
        <f t="shared" si="18"/>
        <v>18.333333333333332</v>
      </c>
      <c r="E382" s="975"/>
    </row>
    <row r="383" spans="1:5" ht="27.75" customHeight="1" x14ac:dyDescent="0.25">
      <c r="A383" s="738" t="s">
        <v>1337</v>
      </c>
      <c r="B383" s="744" t="s">
        <v>1338</v>
      </c>
      <c r="C383" s="750">
        <v>140</v>
      </c>
      <c r="D383" s="976">
        <f t="shared" si="18"/>
        <v>46.666666666666664</v>
      </c>
      <c r="E383" s="975"/>
    </row>
    <row r="384" spans="1:5" ht="27.75" customHeight="1" x14ac:dyDescent="0.25">
      <c r="A384" s="2483" t="s">
        <v>1339</v>
      </c>
      <c r="B384" s="744"/>
      <c r="C384" s="2484">
        <v>175</v>
      </c>
      <c r="D384" s="976">
        <f t="shared" si="18"/>
        <v>58.333333333333336</v>
      </c>
      <c r="E384" s="975"/>
    </row>
    <row r="385" spans="1:5" ht="27.75" customHeight="1" x14ac:dyDescent="0.25">
      <c r="A385" s="2483"/>
      <c r="B385" s="744" t="s">
        <v>1338</v>
      </c>
      <c r="C385" s="2484"/>
      <c r="D385" s="976">
        <f t="shared" si="18"/>
        <v>0</v>
      </c>
      <c r="E385" s="975"/>
    </row>
    <row r="386" spans="1:5" ht="27.75" customHeight="1" x14ac:dyDescent="0.25">
      <c r="A386" s="726" t="s">
        <v>1340</v>
      </c>
      <c r="B386" s="725" t="s">
        <v>1338</v>
      </c>
      <c r="C386" s="750">
        <v>210</v>
      </c>
      <c r="D386" s="976">
        <f t="shared" si="18"/>
        <v>70</v>
      </c>
      <c r="E386" s="975"/>
    </row>
    <row r="387" spans="1:5" ht="27.75" customHeight="1" x14ac:dyDescent="0.25">
      <c r="A387" s="738" t="s">
        <v>0</v>
      </c>
      <c r="B387" s="725" t="s">
        <v>949</v>
      </c>
      <c r="C387" s="750">
        <v>590</v>
      </c>
      <c r="D387" s="976">
        <f t="shared" si="18"/>
        <v>196.66666666666666</v>
      </c>
      <c r="E387" s="975"/>
    </row>
    <row r="388" spans="1:5" ht="27.75" customHeight="1" x14ac:dyDescent="0.25">
      <c r="A388" s="726" t="s">
        <v>1</v>
      </c>
      <c r="B388" s="725" t="s">
        <v>949</v>
      </c>
      <c r="C388" s="750">
        <v>565.5</v>
      </c>
      <c r="D388" s="976">
        <f t="shared" si="18"/>
        <v>188.5</v>
      </c>
      <c r="E388" s="975"/>
    </row>
    <row r="389" spans="1:5" ht="27.75" customHeight="1" x14ac:dyDescent="0.25">
      <c r="A389" s="738" t="s">
        <v>2</v>
      </c>
      <c r="B389" s="725" t="s">
        <v>949</v>
      </c>
      <c r="C389" s="750">
        <v>20.7</v>
      </c>
      <c r="D389" s="976">
        <f t="shared" si="18"/>
        <v>6.8999999999999995</v>
      </c>
      <c r="E389" s="975"/>
    </row>
    <row r="390" spans="1:5" ht="27.75" customHeight="1" x14ac:dyDescent="0.25">
      <c r="A390" s="726" t="s">
        <v>3</v>
      </c>
      <c r="B390" s="725" t="s">
        <v>949</v>
      </c>
      <c r="C390" s="750">
        <v>5</v>
      </c>
      <c r="D390" s="976">
        <f t="shared" si="18"/>
        <v>1.6666666666666667</v>
      </c>
      <c r="E390" s="975"/>
    </row>
    <row r="391" spans="1:5" ht="27.75" customHeight="1" x14ac:dyDescent="0.25">
      <c r="A391" s="726" t="s">
        <v>4</v>
      </c>
      <c r="B391" s="725" t="s">
        <v>949</v>
      </c>
      <c r="C391" s="750">
        <v>0.75</v>
      </c>
      <c r="D391" s="976">
        <f t="shared" si="18"/>
        <v>0.25</v>
      </c>
      <c r="E391" s="975"/>
    </row>
    <row r="392" spans="1:5" ht="27.75" customHeight="1" x14ac:dyDescent="0.25">
      <c r="A392" s="726" t="s">
        <v>5</v>
      </c>
      <c r="B392" s="744" t="s">
        <v>6</v>
      </c>
      <c r="C392" s="750">
        <v>6</v>
      </c>
      <c r="D392" s="976">
        <f t="shared" si="18"/>
        <v>2</v>
      </c>
      <c r="E392" s="975"/>
    </row>
    <row r="393" spans="1:5" ht="27.75" customHeight="1" x14ac:dyDescent="0.25">
      <c r="A393" s="726" t="s">
        <v>7</v>
      </c>
      <c r="B393" s="744" t="s">
        <v>6</v>
      </c>
      <c r="C393" s="750">
        <v>15</v>
      </c>
      <c r="D393" s="976">
        <f t="shared" si="18"/>
        <v>5</v>
      </c>
      <c r="E393" s="975"/>
    </row>
    <row r="394" spans="1:5" ht="27.75" customHeight="1" x14ac:dyDescent="0.25">
      <c r="A394" s="726" t="s">
        <v>8</v>
      </c>
      <c r="B394" s="744" t="s">
        <v>1338</v>
      </c>
      <c r="C394" s="750">
        <v>280</v>
      </c>
      <c r="D394" s="976">
        <f t="shared" si="18"/>
        <v>93.333333333333329</v>
      </c>
      <c r="E394" s="975"/>
    </row>
    <row r="395" spans="1:5" ht="27.75" customHeight="1" x14ac:dyDescent="0.25">
      <c r="A395" s="726" t="s">
        <v>9</v>
      </c>
      <c r="B395" s="725" t="s">
        <v>949</v>
      </c>
      <c r="C395" s="750">
        <v>421</v>
      </c>
      <c r="D395" s="976">
        <f t="shared" si="18"/>
        <v>140.33333333333334</v>
      </c>
      <c r="E395" s="975"/>
    </row>
    <row r="396" spans="1:5" ht="27.75" customHeight="1" x14ac:dyDescent="0.25">
      <c r="A396" s="726" t="s">
        <v>10</v>
      </c>
      <c r="B396" s="725" t="s">
        <v>949</v>
      </c>
      <c r="C396" s="750">
        <v>467</v>
      </c>
      <c r="D396" s="976">
        <f t="shared" si="18"/>
        <v>155.66666666666666</v>
      </c>
      <c r="E396" s="975"/>
    </row>
    <row r="397" spans="1:5" ht="27.75" customHeight="1" x14ac:dyDescent="0.25">
      <c r="A397" s="726" t="s">
        <v>11</v>
      </c>
      <c r="B397" s="725" t="s">
        <v>949</v>
      </c>
      <c r="C397" s="750">
        <v>30</v>
      </c>
      <c r="D397" s="976">
        <f t="shared" si="18"/>
        <v>10</v>
      </c>
      <c r="E397" s="975"/>
    </row>
    <row r="398" spans="1:5" ht="27.75" customHeight="1" x14ac:dyDescent="0.25">
      <c r="A398" s="726" t="s">
        <v>12</v>
      </c>
      <c r="B398" s="725" t="s">
        <v>949</v>
      </c>
      <c r="C398" s="750">
        <v>30</v>
      </c>
      <c r="D398" s="976">
        <f t="shared" si="18"/>
        <v>10</v>
      </c>
      <c r="E398" s="975"/>
    </row>
    <row r="399" spans="1:5" ht="27.75" customHeight="1" x14ac:dyDescent="0.25">
      <c r="A399" s="726" t="s">
        <v>13</v>
      </c>
      <c r="B399" s="725" t="s">
        <v>949</v>
      </c>
      <c r="C399" s="750">
        <v>30</v>
      </c>
      <c r="D399" s="976">
        <f t="shared" si="18"/>
        <v>10</v>
      </c>
      <c r="E399" s="975"/>
    </row>
    <row r="400" spans="1:5" ht="27.75" customHeight="1" x14ac:dyDescent="0.25">
      <c r="A400" s="726" t="s">
        <v>14</v>
      </c>
      <c r="B400" s="725" t="s">
        <v>1309</v>
      </c>
      <c r="C400" s="750">
        <v>0.75</v>
      </c>
      <c r="D400" s="976">
        <f t="shared" si="18"/>
        <v>0.25</v>
      </c>
      <c r="E400" s="975"/>
    </row>
    <row r="401" spans="1:5" ht="27.75" customHeight="1" x14ac:dyDescent="0.25">
      <c r="A401" s="738" t="s">
        <v>15</v>
      </c>
      <c r="B401" s="744" t="s">
        <v>1309</v>
      </c>
      <c r="C401" s="750">
        <v>1</v>
      </c>
      <c r="D401" s="976">
        <f t="shared" si="18"/>
        <v>0.33333333333333331</v>
      </c>
      <c r="E401" s="975"/>
    </row>
    <row r="402" spans="1:5" ht="27.75" customHeight="1" x14ac:dyDescent="0.25">
      <c r="A402" s="738" t="s">
        <v>16</v>
      </c>
      <c r="B402" s="744" t="s">
        <v>1309</v>
      </c>
      <c r="C402" s="750">
        <v>2</v>
      </c>
      <c r="D402" s="976">
        <f t="shared" si="18"/>
        <v>0.66666666666666663</v>
      </c>
      <c r="E402" s="975"/>
    </row>
    <row r="403" spans="1:5" ht="27.75" customHeight="1" x14ac:dyDescent="0.25">
      <c r="A403" s="726" t="s">
        <v>32</v>
      </c>
      <c r="B403" s="725" t="s">
        <v>1309</v>
      </c>
      <c r="C403" s="750">
        <v>3.1</v>
      </c>
      <c r="D403" s="976">
        <f t="shared" si="18"/>
        <v>1.0333333333333334</v>
      </c>
      <c r="E403" s="975"/>
    </row>
    <row r="404" spans="1:5" ht="27.75" customHeight="1" x14ac:dyDescent="0.25">
      <c r="A404" s="726" t="s">
        <v>33</v>
      </c>
      <c r="B404" s="725" t="s">
        <v>1309</v>
      </c>
      <c r="C404" s="750">
        <v>1.85</v>
      </c>
      <c r="D404" s="976">
        <f t="shared" si="18"/>
        <v>0.6166666666666667</v>
      </c>
      <c r="E404" s="975"/>
    </row>
    <row r="405" spans="1:5" ht="27.75" customHeight="1" x14ac:dyDescent="0.25">
      <c r="A405" s="726" t="s">
        <v>34</v>
      </c>
      <c r="B405" s="725" t="s">
        <v>1309</v>
      </c>
      <c r="C405" s="750">
        <v>1.35</v>
      </c>
      <c r="D405" s="976">
        <f t="shared" si="18"/>
        <v>0.45</v>
      </c>
      <c r="E405" s="975"/>
    </row>
    <row r="406" spans="1:5" ht="27.75" customHeight="1" x14ac:dyDescent="0.25">
      <c r="A406" s="726" t="s">
        <v>35</v>
      </c>
      <c r="B406" s="725" t="s">
        <v>949</v>
      </c>
      <c r="C406" s="750">
        <v>300</v>
      </c>
      <c r="D406" s="976">
        <f t="shared" si="18"/>
        <v>100</v>
      </c>
      <c r="E406" s="975"/>
    </row>
    <row r="407" spans="1:5" ht="27.75" customHeight="1" x14ac:dyDescent="0.25">
      <c r="A407" s="738" t="s">
        <v>36</v>
      </c>
      <c r="B407" s="744" t="s">
        <v>949</v>
      </c>
      <c r="C407" s="750">
        <v>30</v>
      </c>
      <c r="D407" s="976">
        <f t="shared" si="18"/>
        <v>10</v>
      </c>
      <c r="E407" s="975"/>
    </row>
    <row r="408" spans="1:5" ht="27.75" customHeight="1" x14ac:dyDescent="0.25">
      <c r="A408" s="738" t="s">
        <v>37</v>
      </c>
      <c r="B408" s="744" t="s">
        <v>949</v>
      </c>
      <c r="C408" s="750">
        <v>35</v>
      </c>
      <c r="D408" s="976">
        <f t="shared" si="18"/>
        <v>11.666666666666666</v>
      </c>
      <c r="E408" s="975"/>
    </row>
    <row r="409" spans="1:5" ht="27.75" customHeight="1" x14ac:dyDescent="0.25">
      <c r="A409" s="738" t="s">
        <v>38</v>
      </c>
      <c r="B409" s="744" t="s">
        <v>949</v>
      </c>
      <c r="C409" s="750">
        <v>35</v>
      </c>
      <c r="D409" s="976">
        <f t="shared" si="18"/>
        <v>11.666666666666666</v>
      </c>
      <c r="E409" s="975"/>
    </row>
    <row r="410" spans="1:5" ht="27.75" customHeight="1" x14ac:dyDescent="0.25">
      <c r="A410" s="738" t="s">
        <v>39</v>
      </c>
      <c r="B410" s="744" t="s">
        <v>949</v>
      </c>
      <c r="C410" s="750">
        <v>33</v>
      </c>
      <c r="D410" s="976">
        <f t="shared" si="18"/>
        <v>11</v>
      </c>
      <c r="E410" s="975"/>
    </row>
    <row r="411" spans="1:5" ht="27.75" customHeight="1" x14ac:dyDescent="0.25">
      <c r="A411" s="726" t="s">
        <v>40</v>
      </c>
      <c r="B411" s="725" t="s">
        <v>6</v>
      </c>
      <c r="C411" s="750">
        <v>50</v>
      </c>
      <c r="D411" s="976">
        <f t="shared" si="18"/>
        <v>16.666666666666668</v>
      </c>
      <c r="E411" s="975"/>
    </row>
    <row r="412" spans="1:5" ht="27.75" customHeight="1" x14ac:dyDescent="0.25">
      <c r="A412" s="726" t="s">
        <v>41</v>
      </c>
      <c r="B412" s="725" t="s">
        <v>6</v>
      </c>
      <c r="C412" s="750">
        <v>45</v>
      </c>
      <c r="D412" s="976">
        <f t="shared" si="18"/>
        <v>15</v>
      </c>
      <c r="E412" s="975"/>
    </row>
    <row r="413" spans="1:5" ht="27.75" customHeight="1" x14ac:dyDescent="0.25">
      <c r="A413" s="726" t="s">
        <v>42</v>
      </c>
      <c r="B413" s="725" t="s">
        <v>949</v>
      </c>
      <c r="C413" s="750">
        <v>160</v>
      </c>
      <c r="D413" s="976">
        <f t="shared" si="18"/>
        <v>53.333333333333336</v>
      </c>
      <c r="E413" s="975"/>
    </row>
    <row r="414" spans="1:5" ht="40.5" customHeight="1" x14ac:dyDescent="0.25">
      <c r="A414" s="738" t="s">
        <v>43</v>
      </c>
      <c r="B414" s="725" t="s">
        <v>6</v>
      </c>
      <c r="C414" s="755">
        <v>69.400000000000006</v>
      </c>
      <c r="D414" s="976">
        <f t="shared" si="18"/>
        <v>23.133333333333336</v>
      </c>
      <c r="E414" s="975"/>
    </row>
    <row r="415" spans="1:5" ht="27.75" customHeight="1" x14ac:dyDescent="0.25">
      <c r="A415" s="726" t="s">
        <v>44</v>
      </c>
      <c r="B415" s="725" t="s">
        <v>949</v>
      </c>
      <c r="C415" s="750">
        <v>73.5</v>
      </c>
      <c r="D415" s="976">
        <f t="shared" si="18"/>
        <v>24.5</v>
      </c>
      <c r="E415" s="975"/>
    </row>
    <row r="416" spans="1:5" ht="27.75" customHeight="1" x14ac:dyDescent="0.25">
      <c r="A416" s="726" t="s">
        <v>46</v>
      </c>
      <c r="B416" s="725" t="s">
        <v>949</v>
      </c>
      <c r="C416" s="750">
        <v>135</v>
      </c>
      <c r="D416" s="976">
        <f t="shared" si="18"/>
        <v>45</v>
      </c>
      <c r="E416" s="975"/>
    </row>
    <row r="417" spans="1:5" ht="27.75" customHeight="1" x14ac:dyDescent="0.25">
      <c r="A417" s="726" t="s">
        <v>47</v>
      </c>
      <c r="B417" s="725" t="s">
        <v>949</v>
      </c>
      <c r="C417" s="750">
        <v>251.6</v>
      </c>
      <c r="D417" s="976">
        <f t="shared" si="18"/>
        <v>83.86666666666666</v>
      </c>
      <c r="E417" s="975"/>
    </row>
    <row r="418" spans="1:5" ht="27.75" customHeight="1" x14ac:dyDescent="0.25">
      <c r="A418" s="726" t="s">
        <v>48</v>
      </c>
      <c r="B418" s="725" t="s">
        <v>949</v>
      </c>
      <c r="C418" s="750">
        <v>40</v>
      </c>
      <c r="D418" s="976">
        <f t="shared" si="18"/>
        <v>13.333333333333334</v>
      </c>
      <c r="E418" s="975"/>
    </row>
    <row r="419" spans="1:5" ht="27.75" customHeight="1" x14ac:dyDescent="0.25">
      <c r="A419" s="726" t="s">
        <v>49</v>
      </c>
      <c r="B419" s="725" t="s">
        <v>949</v>
      </c>
      <c r="C419" s="750">
        <v>18.600000000000001</v>
      </c>
      <c r="D419" s="976">
        <f t="shared" si="18"/>
        <v>6.2</v>
      </c>
      <c r="E419" s="975"/>
    </row>
    <row r="420" spans="1:5" ht="27.75" customHeight="1" x14ac:dyDescent="0.25">
      <c r="A420" s="726" t="s">
        <v>32</v>
      </c>
      <c r="B420" s="725" t="s">
        <v>1309</v>
      </c>
      <c r="C420" s="750">
        <v>3.1</v>
      </c>
      <c r="D420" s="976">
        <f t="shared" si="18"/>
        <v>1.0333333333333334</v>
      </c>
      <c r="E420" s="975"/>
    </row>
    <row r="421" spans="1:5" ht="27.75" customHeight="1" x14ac:dyDescent="0.25">
      <c r="A421" s="726" t="s">
        <v>50</v>
      </c>
      <c r="B421" s="725" t="s">
        <v>949</v>
      </c>
      <c r="C421" s="750">
        <v>52.7</v>
      </c>
      <c r="D421" s="976">
        <f t="shared" si="18"/>
        <v>17.566666666666666</v>
      </c>
      <c r="E421" s="975"/>
    </row>
    <row r="422" spans="1:5" ht="27.75" customHeight="1" x14ac:dyDescent="0.25">
      <c r="A422" s="726" t="s">
        <v>51</v>
      </c>
      <c r="B422" s="725" t="s">
        <v>949</v>
      </c>
      <c r="C422" s="750">
        <v>24</v>
      </c>
      <c r="D422" s="976">
        <f t="shared" si="18"/>
        <v>8</v>
      </c>
      <c r="E422" s="975"/>
    </row>
    <row r="423" spans="1:5" ht="27.75" customHeight="1" x14ac:dyDescent="0.25">
      <c r="A423" s="726" t="s">
        <v>52</v>
      </c>
      <c r="B423" s="725" t="s">
        <v>949</v>
      </c>
      <c r="C423" s="750">
        <v>44.35</v>
      </c>
      <c r="D423" s="976">
        <f t="shared" si="18"/>
        <v>14.783333333333333</v>
      </c>
      <c r="E423" s="975"/>
    </row>
    <row r="424" spans="1:5" ht="27.75" customHeight="1" x14ac:dyDescent="0.25">
      <c r="A424" s="726" t="s">
        <v>53</v>
      </c>
      <c r="B424" s="725" t="s">
        <v>949</v>
      </c>
      <c r="C424" s="750">
        <v>25.35</v>
      </c>
      <c r="D424" s="976">
        <f t="shared" si="18"/>
        <v>8.4500000000000011</v>
      </c>
      <c r="E424" s="975"/>
    </row>
    <row r="425" spans="1:5" ht="27.75" customHeight="1" x14ac:dyDescent="0.25">
      <c r="A425" s="726" t="s">
        <v>54</v>
      </c>
      <c r="B425" s="725" t="s">
        <v>949</v>
      </c>
      <c r="C425" s="750">
        <v>11.75</v>
      </c>
      <c r="D425" s="976">
        <f t="shared" si="18"/>
        <v>3.9166666666666665</v>
      </c>
      <c r="E425" s="975"/>
    </row>
    <row r="426" spans="1:5" ht="27.75" customHeight="1" x14ac:dyDescent="0.25">
      <c r="A426" s="726" t="s">
        <v>55</v>
      </c>
      <c r="B426" s="725" t="s">
        <v>949</v>
      </c>
      <c r="C426" s="750">
        <v>60</v>
      </c>
      <c r="D426" s="976">
        <f t="shared" si="18"/>
        <v>20</v>
      </c>
      <c r="E426" s="975"/>
    </row>
    <row r="427" spans="1:5" ht="27.75" customHeight="1" x14ac:dyDescent="0.25">
      <c r="A427" s="726" t="s">
        <v>56</v>
      </c>
      <c r="B427" s="725" t="s">
        <v>949</v>
      </c>
      <c r="C427" s="750">
        <v>5</v>
      </c>
      <c r="D427" s="976">
        <f t="shared" si="18"/>
        <v>1.6666666666666667</v>
      </c>
      <c r="E427" s="975"/>
    </row>
    <row r="428" spans="1:5" ht="27.75" customHeight="1" x14ac:dyDescent="0.25">
      <c r="A428" s="726" t="s">
        <v>57</v>
      </c>
      <c r="B428" s="725" t="s">
        <v>949</v>
      </c>
      <c r="C428" s="750">
        <v>25</v>
      </c>
      <c r="D428" s="976">
        <f t="shared" si="18"/>
        <v>8.3333333333333339</v>
      </c>
      <c r="E428" s="975"/>
    </row>
    <row r="429" spans="1:5" ht="27.75" customHeight="1" x14ac:dyDescent="0.25">
      <c r="A429" s="726" t="s">
        <v>58</v>
      </c>
      <c r="B429" s="725" t="s">
        <v>949</v>
      </c>
      <c r="C429" s="750">
        <v>1.2</v>
      </c>
      <c r="D429" s="976">
        <f t="shared" si="18"/>
        <v>0.39999999999999997</v>
      </c>
      <c r="E429" s="975"/>
    </row>
    <row r="430" spans="1:5" ht="27.75" customHeight="1" x14ac:dyDescent="0.25">
      <c r="A430" s="726" t="s">
        <v>59</v>
      </c>
      <c r="B430" s="725" t="s">
        <v>949</v>
      </c>
      <c r="C430" s="755">
        <v>1.4</v>
      </c>
      <c r="D430" s="976">
        <f t="shared" si="18"/>
        <v>0.46666666666666662</v>
      </c>
      <c r="E430" s="975"/>
    </row>
    <row r="431" spans="1:5" ht="27.75" customHeight="1" x14ac:dyDescent="0.25">
      <c r="A431" s="726" t="s">
        <v>60</v>
      </c>
      <c r="B431" s="725" t="s">
        <v>949</v>
      </c>
      <c r="C431" s="750">
        <v>2</v>
      </c>
      <c r="D431" s="976">
        <f t="shared" si="18"/>
        <v>0.66666666666666663</v>
      </c>
      <c r="E431" s="975"/>
    </row>
    <row r="432" spans="1:5" ht="27.75" customHeight="1" x14ac:dyDescent="0.25">
      <c r="A432" s="726" t="s">
        <v>61</v>
      </c>
      <c r="B432" s="725" t="s">
        <v>949</v>
      </c>
      <c r="C432" s="750">
        <v>1.4</v>
      </c>
      <c r="D432" s="976">
        <f t="shared" si="18"/>
        <v>0.46666666666666662</v>
      </c>
      <c r="E432" s="975"/>
    </row>
    <row r="433" spans="1:5" ht="27.75" customHeight="1" x14ac:dyDescent="0.25">
      <c r="A433" s="726" t="s">
        <v>62</v>
      </c>
      <c r="B433" s="725" t="s">
        <v>949</v>
      </c>
      <c r="C433" s="750">
        <v>0.8</v>
      </c>
      <c r="D433" s="976">
        <f t="shared" si="18"/>
        <v>0.26666666666666666</v>
      </c>
      <c r="E433" s="975"/>
    </row>
    <row r="434" spans="1:5" ht="27.75" customHeight="1" x14ac:dyDescent="0.25">
      <c r="A434" s="726" t="s">
        <v>63</v>
      </c>
      <c r="B434" s="725" t="s">
        <v>940</v>
      </c>
      <c r="C434" s="750">
        <v>295</v>
      </c>
      <c r="D434" s="976">
        <f t="shared" si="18"/>
        <v>98.333333333333329</v>
      </c>
      <c r="E434" s="975"/>
    </row>
    <row r="435" spans="1:5" ht="27.75" customHeight="1" x14ac:dyDescent="0.25">
      <c r="A435" s="726" t="s">
        <v>64</v>
      </c>
      <c r="B435" s="725" t="s">
        <v>949</v>
      </c>
      <c r="C435" s="750">
        <v>216</v>
      </c>
      <c r="D435" s="976">
        <f t="shared" si="18"/>
        <v>72</v>
      </c>
      <c r="E435" s="975"/>
    </row>
    <row r="436" spans="1:5" ht="27.75" customHeight="1" x14ac:dyDescent="0.25">
      <c r="A436" s="726" t="s">
        <v>65</v>
      </c>
      <c r="B436" s="725" t="s">
        <v>292</v>
      </c>
      <c r="C436" s="750">
        <v>5</v>
      </c>
      <c r="D436" s="976">
        <f t="shared" si="18"/>
        <v>1.6666666666666667</v>
      </c>
      <c r="E436" s="975"/>
    </row>
    <row r="437" spans="1:5" ht="27.75" customHeight="1" x14ac:dyDescent="0.25">
      <c r="A437" s="726" t="s">
        <v>66</v>
      </c>
      <c r="B437" s="725" t="s">
        <v>949</v>
      </c>
      <c r="C437" s="750">
        <v>4</v>
      </c>
      <c r="D437" s="976">
        <f t="shared" si="18"/>
        <v>1.3333333333333333</v>
      </c>
      <c r="E437" s="975"/>
    </row>
    <row r="438" spans="1:5" ht="27.75" customHeight="1" x14ac:dyDescent="0.25">
      <c r="A438" s="726" t="s">
        <v>67</v>
      </c>
      <c r="B438" s="725" t="s">
        <v>949</v>
      </c>
      <c r="C438" s="750">
        <v>12</v>
      </c>
      <c r="D438" s="976">
        <f t="shared" si="18"/>
        <v>4</v>
      </c>
      <c r="E438" s="975"/>
    </row>
    <row r="439" spans="1:5" ht="27.75" customHeight="1" x14ac:dyDescent="0.25">
      <c r="A439" s="726" t="s">
        <v>68</v>
      </c>
      <c r="B439" s="725" t="s">
        <v>949</v>
      </c>
      <c r="C439" s="750">
        <v>13</v>
      </c>
      <c r="D439" s="976">
        <f t="shared" si="18"/>
        <v>4.333333333333333</v>
      </c>
      <c r="E439" s="975"/>
    </row>
    <row r="440" spans="1:5" ht="27.75" customHeight="1" x14ac:dyDescent="0.25">
      <c r="A440" s="726" t="s">
        <v>69</v>
      </c>
      <c r="B440" s="725" t="s">
        <v>949</v>
      </c>
      <c r="C440" s="750">
        <v>16</v>
      </c>
      <c r="D440" s="976">
        <f t="shared" ref="D440:D503" si="19">C440/3</f>
        <v>5.333333333333333</v>
      </c>
      <c r="E440" s="975"/>
    </row>
    <row r="441" spans="1:5" ht="27.75" customHeight="1" x14ac:dyDescent="0.25">
      <c r="A441" s="726" t="s">
        <v>70</v>
      </c>
      <c r="B441" s="725" t="s">
        <v>949</v>
      </c>
      <c r="C441" s="750">
        <v>50</v>
      </c>
      <c r="D441" s="976">
        <f t="shared" si="19"/>
        <v>16.666666666666668</v>
      </c>
      <c r="E441" s="975"/>
    </row>
    <row r="442" spans="1:5" ht="27.75" customHeight="1" x14ac:dyDescent="0.25">
      <c r="A442" s="726" t="s">
        <v>71</v>
      </c>
      <c r="B442" s="725" t="s">
        <v>949</v>
      </c>
      <c r="C442" s="750">
        <v>20</v>
      </c>
      <c r="D442" s="976">
        <f t="shared" si="19"/>
        <v>6.666666666666667</v>
      </c>
      <c r="E442" s="975"/>
    </row>
    <row r="443" spans="1:5" ht="27.75" customHeight="1" x14ac:dyDescent="0.25">
      <c r="A443" s="726" t="s">
        <v>72</v>
      </c>
      <c r="B443" s="725" t="s">
        <v>949</v>
      </c>
      <c r="C443" s="750">
        <v>15</v>
      </c>
      <c r="D443" s="976">
        <f t="shared" si="19"/>
        <v>5</v>
      </c>
      <c r="E443" s="975"/>
    </row>
    <row r="444" spans="1:5" ht="27.75" customHeight="1" x14ac:dyDescent="0.25">
      <c r="A444" s="726" t="s">
        <v>73</v>
      </c>
      <c r="B444" s="725" t="s">
        <v>949</v>
      </c>
      <c r="C444" s="750">
        <v>29</v>
      </c>
      <c r="D444" s="976">
        <f t="shared" si="19"/>
        <v>9.6666666666666661</v>
      </c>
      <c r="E444" s="975"/>
    </row>
    <row r="445" spans="1:5" ht="27.75" customHeight="1" x14ac:dyDescent="0.25">
      <c r="A445" s="726" t="s">
        <v>74</v>
      </c>
      <c r="B445" s="725" t="s">
        <v>292</v>
      </c>
      <c r="C445" s="750">
        <v>8</v>
      </c>
      <c r="D445" s="976">
        <f t="shared" si="19"/>
        <v>2.6666666666666665</v>
      </c>
      <c r="E445" s="975"/>
    </row>
    <row r="446" spans="1:5" ht="27.75" customHeight="1" x14ac:dyDescent="0.25">
      <c r="A446" s="726" t="s">
        <v>75</v>
      </c>
      <c r="B446" s="725" t="s">
        <v>292</v>
      </c>
      <c r="C446" s="750">
        <v>1</v>
      </c>
      <c r="D446" s="976">
        <f t="shared" si="19"/>
        <v>0.33333333333333331</v>
      </c>
      <c r="E446" s="975"/>
    </row>
    <row r="447" spans="1:5" ht="27.75" customHeight="1" x14ac:dyDescent="0.25">
      <c r="A447" s="726" t="s">
        <v>76</v>
      </c>
      <c r="B447" s="725" t="s">
        <v>949</v>
      </c>
      <c r="C447" s="750">
        <v>48</v>
      </c>
      <c r="D447" s="976">
        <f t="shared" si="19"/>
        <v>16</v>
      </c>
      <c r="E447" s="975"/>
    </row>
    <row r="448" spans="1:5" ht="27.75" customHeight="1" x14ac:dyDescent="0.25">
      <c r="A448" s="726" t="s">
        <v>77</v>
      </c>
      <c r="B448" s="725" t="s">
        <v>949</v>
      </c>
      <c r="C448" s="750">
        <v>1525</v>
      </c>
      <c r="D448" s="976">
        <f t="shared" si="19"/>
        <v>508.33333333333331</v>
      </c>
      <c r="E448" s="975"/>
    </row>
    <row r="449" spans="1:5" ht="27.75" customHeight="1" x14ac:dyDescent="0.25">
      <c r="A449" s="726" t="s">
        <v>810</v>
      </c>
      <c r="B449" s="725" t="s">
        <v>638</v>
      </c>
      <c r="C449" s="750">
        <v>1.2</v>
      </c>
      <c r="D449" s="976">
        <f t="shared" si="19"/>
        <v>0.39999999999999997</v>
      </c>
      <c r="E449" s="975"/>
    </row>
    <row r="450" spans="1:5" ht="27.75" customHeight="1" x14ac:dyDescent="0.25">
      <c r="A450" s="726" t="s">
        <v>78</v>
      </c>
      <c r="B450" s="725" t="s">
        <v>949</v>
      </c>
      <c r="C450" s="750">
        <v>6.6</v>
      </c>
      <c r="D450" s="976">
        <f t="shared" si="19"/>
        <v>2.1999999999999997</v>
      </c>
      <c r="E450" s="975"/>
    </row>
    <row r="451" spans="1:5" ht="27.75" customHeight="1" x14ac:dyDescent="0.25">
      <c r="A451" s="726" t="s">
        <v>79</v>
      </c>
      <c r="B451" s="725" t="s">
        <v>949</v>
      </c>
      <c r="C451" s="750">
        <v>36</v>
      </c>
      <c r="D451" s="976">
        <f t="shared" si="19"/>
        <v>12</v>
      </c>
      <c r="E451" s="975"/>
    </row>
    <row r="452" spans="1:5" ht="27.75" customHeight="1" x14ac:dyDescent="0.25">
      <c r="A452" s="726" t="s">
        <v>80</v>
      </c>
      <c r="B452" s="725" t="s">
        <v>949</v>
      </c>
      <c r="C452" s="750">
        <v>2</v>
      </c>
      <c r="D452" s="976">
        <f t="shared" si="19"/>
        <v>0.66666666666666663</v>
      </c>
      <c r="E452" s="975"/>
    </row>
    <row r="453" spans="1:5" ht="27.75" customHeight="1" x14ac:dyDescent="0.25">
      <c r="A453" s="726" t="s">
        <v>81</v>
      </c>
      <c r="B453" s="725" t="s">
        <v>82</v>
      </c>
      <c r="C453" s="750">
        <v>17</v>
      </c>
      <c r="D453" s="976">
        <f t="shared" si="19"/>
        <v>5.666666666666667</v>
      </c>
      <c r="E453" s="975"/>
    </row>
    <row r="454" spans="1:5" ht="27.75" customHeight="1" x14ac:dyDescent="0.25">
      <c r="A454" s="726" t="s">
        <v>83</v>
      </c>
      <c r="B454" s="725" t="s">
        <v>949</v>
      </c>
      <c r="C454" s="750">
        <v>40</v>
      </c>
      <c r="D454" s="976">
        <f t="shared" si="19"/>
        <v>13.333333333333334</v>
      </c>
      <c r="E454" s="975"/>
    </row>
    <row r="455" spans="1:5" ht="27.75" customHeight="1" x14ac:dyDescent="0.25">
      <c r="A455" s="726" t="s">
        <v>84</v>
      </c>
      <c r="B455" s="725" t="s">
        <v>949</v>
      </c>
      <c r="C455" s="750">
        <v>1970</v>
      </c>
      <c r="D455" s="976">
        <f t="shared" si="19"/>
        <v>656.66666666666663</v>
      </c>
      <c r="E455" s="975"/>
    </row>
    <row r="456" spans="1:5" ht="27.75" customHeight="1" x14ac:dyDescent="0.25">
      <c r="A456" s="726" t="s">
        <v>85</v>
      </c>
      <c r="B456" s="725" t="s">
        <v>949</v>
      </c>
      <c r="C456" s="750">
        <v>15</v>
      </c>
      <c r="D456" s="976">
        <f t="shared" si="19"/>
        <v>5</v>
      </c>
      <c r="E456" s="975"/>
    </row>
    <row r="457" spans="1:5" ht="27.75" customHeight="1" x14ac:dyDescent="0.25">
      <c r="A457" s="726" t="s">
        <v>86</v>
      </c>
      <c r="B457" s="742" t="s">
        <v>87</v>
      </c>
      <c r="C457" s="750">
        <v>9</v>
      </c>
      <c r="D457" s="976">
        <f t="shared" si="19"/>
        <v>3</v>
      </c>
      <c r="E457" s="975"/>
    </row>
    <row r="458" spans="1:5" ht="27.75" customHeight="1" x14ac:dyDescent="0.25">
      <c r="A458" s="726" t="s">
        <v>88</v>
      </c>
      <c r="B458" s="725" t="s">
        <v>949</v>
      </c>
      <c r="C458" s="750">
        <v>97</v>
      </c>
      <c r="D458" s="976">
        <f t="shared" si="19"/>
        <v>32.333333333333336</v>
      </c>
      <c r="E458" s="975"/>
    </row>
    <row r="459" spans="1:5" ht="27.75" customHeight="1" x14ac:dyDescent="0.25">
      <c r="A459" s="726" t="s">
        <v>89</v>
      </c>
      <c r="B459" s="725" t="s">
        <v>949</v>
      </c>
      <c r="C459" s="750">
        <v>2.4</v>
      </c>
      <c r="D459" s="976">
        <f t="shared" si="19"/>
        <v>0.79999999999999993</v>
      </c>
      <c r="E459" s="975"/>
    </row>
    <row r="460" spans="1:5" ht="27.75" customHeight="1" x14ac:dyDescent="0.25">
      <c r="A460" s="726" t="s">
        <v>90</v>
      </c>
      <c r="B460" s="725" t="s">
        <v>949</v>
      </c>
      <c r="C460" s="750">
        <v>1.8</v>
      </c>
      <c r="D460" s="976">
        <f t="shared" si="19"/>
        <v>0.6</v>
      </c>
      <c r="E460" s="975"/>
    </row>
    <row r="461" spans="1:5" ht="27.75" customHeight="1" x14ac:dyDescent="0.25">
      <c r="A461" s="726" t="s">
        <v>91</v>
      </c>
      <c r="B461" s="725" t="s">
        <v>949</v>
      </c>
      <c r="C461" s="750">
        <v>1.2</v>
      </c>
      <c r="D461" s="976">
        <f t="shared" si="19"/>
        <v>0.39999999999999997</v>
      </c>
      <c r="E461" s="975"/>
    </row>
    <row r="462" spans="1:5" ht="27.75" customHeight="1" x14ac:dyDescent="0.25">
      <c r="A462" s="726" t="s">
        <v>92</v>
      </c>
      <c r="B462" s="725" t="s">
        <v>949</v>
      </c>
      <c r="C462" s="750">
        <v>1.2</v>
      </c>
      <c r="D462" s="976">
        <f t="shared" si="19"/>
        <v>0.39999999999999997</v>
      </c>
      <c r="E462" s="975"/>
    </row>
    <row r="463" spans="1:5" ht="27.75" customHeight="1" x14ac:dyDescent="0.25">
      <c r="A463" s="726" t="s">
        <v>93</v>
      </c>
      <c r="B463" s="725" t="s">
        <v>638</v>
      </c>
      <c r="C463" s="750">
        <v>23</v>
      </c>
      <c r="D463" s="976">
        <f t="shared" si="19"/>
        <v>7.666666666666667</v>
      </c>
      <c r="E463" s="975"/>
    </row>
    <row r="464" spans="1:5" ht="27.75" customHeight="1" x14ac:dyDescent="0.25">
      <c r="A464" s="726" t="s">
        <v>94</v>
      </c>
      <c r="B464" s="725" t="s">
        <v>82</v>
      </c>
      <c r="C464" s="750">
        <v>16</v>
      </c>
      <c r="D464" s="976">
        <f t="shared" si="19"/>
        <v>5.333333333333333</v>
      </c>
      <c r="E464" s="975"/>
    </row>
    <row r="465" spans="1:5" ht="27.75" customHeight="1" x14ac:dyDescent="0.25">
      <c r="A465" s="726" t="s">
        <v>95</v>
      </c>
      <c r="B465" s="725" t="s">
        <v>292</v>
      </c>
      <c r="C465" s="750">
        <v>1.8</v>
      </c>
      <c r="D465" s="976">
        <f t="shared" si="19"/>
        <v>0.6</v>
      </c>
      <c r="E465" s="975"/>
    </row>
    <row r="466" spans="1:5" ht="27.75" customHeight="1" x14ac:dyDescent="0.25">
      <c r="A466" s="726" t="s">
        <v>96</v>
      </c>
      <c r="B466" s="725" t="s">
        <v>949</v>
      </c>
      <c r="C466" s="750">
        <v>16</v>
      </c>
      <c r="D466" s="976">
        <f t="shared" si="19"/>
        <v>5.333333333333333</v>
      </c>
      <c r="E466" s="975"/>
    </row>
    <row r="467" spans="1:5" ht="27.75" customHeight="1" x14ac:dyDescent="0.25">
      <c r="A467" s="754" t="s">
        <v>97</v>
      </c>
      <c r="B467" s="726"/>
      <c r="C467" s="750"/>
      <c r="D467" s="976">
        <f t="shared" si="19"/>
        <v>0</v>
      </c>
      <c r="E467" s="975"/>
    </row>
    <row r="468" spans="1:5" ht="27.75" customHeight="1" x14ac:dyDescent="0.25">
      <c r="A468" s="726" t="s">
        <v>98</v>
      </c>
      <c r="B468" s="725" t="s">
        <v>292</v>
      </c>
      <c r="C468" s="755">
        <v>281.48</v>
      </c>
      <c r="D468" s="976">
        <f t="shared" si="19"/>
        <v>93.826666666666668</v>
      </c>
      <c r="E468" s="975">
        <f>C468*1000</f>
        <v>281480</v>
      </c>
    </row>
    <row r="469" spans="1:5" ht="27.75" customHeight="1" x14ac:dyDescent="0.25">
      <c r="A469" s="720" t="s">
        <v>99</v>
      </c>
      <c r="B469" s="720"/>
      <c r="C469" s="756"/>
      <c r="D469" s="976">
        <f t="shared" si="19"/>
        <v>0</v>
      </c>
      <c r="E469" s="975">
        <f t="shared" ref="E469:E532" si="20">C469*1000</f>
        <v>0</v>
      </c>
    </row>
    <row r="470" spans="1:5" ht="27.75" customHeight="1" x14ac:dyDescent="0.25">
      <c r="A470" s="726" t="s">
        <v>100</v>
      </c>
      <c r="B470" s="725" t="s">
        <v>292</v>
      </c>
      <c r="C470" s="755">
        <v>22.79</v>
      </c>
      <c r="D470" s="976">
        <f t="shared" si="19"/>
        <v>7.5966666666666667</v>
      </c>
      <c r="E470" s="975">
        <f t="shared" si="20"/>
        <v>22790</v>
      </c>
    </row>
    <row r="471" spans="1:5" ht="27.75" customHeight="1" x14ac:dyDescent="0.25">
      <c r="A471" s="726" t="s">
        <v>101</v>
      </c>
      <c r="B471" s="725" t="s">
        <v>292</v>
      </c>
      <c r="C471" s="755">
        <v>988.55</v>
      </c>
      <c r="D471" s="976">
        <f t="shared" si="19"/>
        <v>329.51666666666665</v>
      </c>
      <c r="E471" s="975">
        <f t="shared" si="20"/>
        <v>988550</v>
      </c>
    </row>
    <row r="472" spans="1:5" ht="27.75" customHeight="1" x14ac:dyDescent="0.25">
      <c r="A472" s="726" t="s">
        <v>102</v>
      </c>
      <c r="B472" s="725" t="s">
        <v>292</v>
      </c>
      <c r="C472" s="755">
        <v>978.49</v>
      </c>
      <c r="D472" s="976">
        <f t="shared" si="19"/>
        <v>326.16333333333336</v>
      </c>
      <c r="E472" s="975">
        <f t="shared" si="20"/>
        <v>978490</v>
      </c>
    </row>
    <row r="473" spans="1:5" ht="27.75" customHeight="1" x14ac:dyDescent="0.25">
      <c r="A473" s="725" t="s">
        <v>103</v>
      </c>
      <c r="B473" s="725"/>
      <c r="C473" s="755"/>
      <c r="D473" s="976">
        <f t="shared" si="19"/>
        <v>0</v>
      </c>
      <c r="E473" s="975">
        <f t="shared" si="20"/>
        <v>0</v>
      </c>
    </row>
    <row r="474" spans="1:5" ht="27.75" customHeight="1" x14ac:dyDescent="0.25">
      <c r="A474" s="726" t="s">
        <v>104</v>
      </c>
      <c r="B474" s="725" t="s">
        <v>292</v>
      </c>
      <c r="C474" s="755">
        <v>23.46</v>
      </c>
      <c r="D474" s="976">
        <f t="shared" si="19"/>
        <v>7.82</v>
      </c>
      <c r="E474" s="975">
        <f t="shared" si="20"/>
        <v>23460</v>
      </c>
    </row>
    <row r="475" spans="1:5" ht="27.75" customHeight="1" x14ac:dyDescent="0.25">
      <c r="A475" s="725" t="s">
        <v>105</v>
      </c>
      <c r="B475" s="725"/>
      <c r="C475" s="755"/>
      <c r="D475" s="976">
        <f t="shared" si="19"/>
        <v>0</v>
      </c>
      <c r="E475" s="975">
        <f t="shared" si="20"/>
        <v>0</v>
      </c>
    </row>
    <row r="476" spans="1:5" ht="27.75" customHeight="1" x14ac:dyDescent="0.25">
      <c r="A476" s="726" t="s">
        <v>106</v>
      </c>
      <c r="B476" s="725" t="s">
        <v>292</v>
      </c>
      <c r="C476" s="755">
        <v>94.36</v>
      </c>
      <c r="D476" s="976">
        <f t="shared" si="19"/>
        <v>31.453333333333333</v>
      </c>
      <c r="E476" s="975">
        <f t="shared" si="20"/>
        <v>94360</v>
      </c>
    </row>
    <row r="477" spans="1:5" ht="27.75" customHeight="1" x14ac:dyDescent="0.25">
      <c r="A477" s="725" t="s">
        <v>107</v>
      </c>
      <c r="B477" s="725"/>
      <c r="C477" s="755"/>
      <c r="D477" s="976">
        <f t="shared" si="19"/>
        <v>0</v>
      </c>
      <c r="E477" s="975">
        <f t="shared" si="20"/>
        <v>0</v>
      </c>
    </row>
    <row r="478" spans="1:5" ht="27.75" customHeight="1" x14ac:dyDescent="0.25">
      <c r="A478" s="726" t="s">
        <v>108</v>
      </c>
      <c r="B478" s="725" t="s">
        <v>292</v>
      </c>
      <c r="C478" s="755">
        <v>94.36</v>
      </c>
      <c r="D478" s="976">
        <f t="shared" si="19"/>
        <v>31.453333333333333</v>
      </c>
      <c r="E478" s="975">
        <f t="shared" si="20"/>
        <v>94360</v>
      </c>
    </row>
    <row r="479" spans="1:5" ht="27.75" customHeight="1" x14ac:dyDescent="0.25">
      <c r="A479" s="725" t="s">
        <v>109</v>
      </c>
      <c r="B479" s="725"/>
      <c r="C479" s="755"/>
      <c r="D479" s="976">
        <f t="shared" si="19"/>
        <v>0</v>
      </c>
      <c r="E479" s="975">
        <f t="shared" si="20"/>
        <v>0</v>
      </c>
    </row>
    <row r="480" spans="1:5" ht="27.75" customHeight="1" x14ac:dyDescent="0.25">
      <c r="A480" s="726" t="s">
        <v>110</v>
      </c>
      <c r="B480" s="725" t="s">
        <v>292</v>
      </c>
      <c r="C480" s="755">
        <v>207.8</v>
      </c>
      <c r="D480" s="976">
        <f t="shared" si="19"/>
        <v>69.266666666666666</v>
      </c>
      <c r="E480" s="975">
        <f t="shared" si="20"/>
        <v>207800</v>
      </c>
    </row>
    <row r="481" spans="1:5" ht="27.75" customHeight="1" x14ac:dyDescent="0.25">
      <c r="A481" s="725" t="s">
        <v>111</v>
      </c>
      <c r="B481" s="725"/>
      <c r="C481" s="757"/>
      <c r="D481" s="976">
        <f t="shared" si="19"/>
        <v>0</v>
      </c>
      <c r="E481" s="975">
        <f t="shared" si="20"/>
        <v>0</v>
      </c>
    </row>
    <row r="482" spans="1:5" ht="27.75" customHeight="1" x14ac:dyDescent="0.25">
      <c r="A482" s="726" t="s">
        <v>112</v>
      </c>
      <c r="B482" s="725" t="s">
        <v>292</v>
      </c>
      <c r="C482" s="755">
        <v>58.91</v>
      </c>
      <c r="D482" s="976">
        <f t="shared" si="19"/>
        <v>19.636666666666667</v>
      </c>
      <c r="E482" s="975">
        <f t="shared" si="20"/>
        <v>58910</v>
      </c>
    </row>
    <row r="483" spans="1:5" ht="27.75" customHeight="1" x14ac:dyDescent="0.25">
      <c r="A483" s="726" t="s">
        <v>113</v>
      </c>
      <c r="B483" s="725" t="s">
        <v>292</v>
      </c>
      <c r="C483" s="755">
        <v>58.91</v>
      </c>
      <c r="D483" s="976">
        <f t="shared" si="19"/>
        <v>19.636666666666667</v>
      </c>
      <c r="E483" s="975">
        <f t="shared" si="20"/>
        <v>58910</v>
      </c>
    </row>
    <row r="484" spans="1:5" ht="27.75" customHeight="1" x14ac:dyDescent="0.25">
      <c r="A484" s="725" t="s">
        <v>114</v>
      </c>
      <c r="B484" s="725"/>
      <c r="C484" s="755"/>
      <c r="D484" s="976">
        <f t="shared" si="19"/>
        <v>0</v>
      </c>
      <c r="E484" s="975">
        <f t="shared" si="20"/>
        <v>0</v>
      </c>
    </row>
    <row r="485" spans="1:5" ht="27.75" customHeight="1" x14ac:dyDescent="0.25">
      <c r="A485" s="726" t="s">
        <v>115</v>
      </c>
      <c r="B485" s="725" t="s">
        <v>292</v>
      </c>
      <c r="C485" s="755">
        <v>130.69</v>
      </c>
      <c r="D485" s="976">
        <f t="shared" si="19"/>
        <v>43.563333333333333</v>
      </c>
      <c r="E485" s="975">
        <f t="shared" si="20"/>
        <v>130690</v>
      </c>
    </row>
    <row r="486" spans="1:5" ht="27.75" customHeight="1" x14ac:dyDescent="0.25">
      <c r="A486" s="726" t="s">
        <v>116</v>
      </c>
      <c r="B486" s="725" t="s">
        <v>292</v>
      </c>
      <c r="C486" s="755">
        <v>6360.2</v>
      </c>
      <c r="D486" s="976">
        <f t="shared" si="19"/>
        <v>2120.0666666666666</v>
      </c>
      <c r="E486" s="975">
        <f t="shared" si="20"/>
        <v>6360200</v>
      </c>
    </row>
    <row r="487" spans="1:5" ht="27.75" customHeight="1" x14ac:dyDescent="0.25">
      <c r="A487" s="726" t="s">
        <v>117</v>
      </c>
      <c r="B487" s="725" t="s">
        <v>292</v>
      </c>
      <c r="C487" s="755">
        <v>6360.2</v>
      </c>
      <c r="D487" s="976">
        <f t="shared" si="19"/>
        <v>2120.0666666666666</v>
      </c>
      <c r="E487" s="975">
        <f t="shared" si="20"/>
        <v>6360200</v>
      </c>
    </row>
    <row r="488" spans="1:5" ht="27.75" customHeight="1" x14ac:dyDescent="0.25">
      <c r="A488" s="726" t="s">
        <v>118</v>
      </c>
      <c r="B488" s="725" t="s">
        <v>292</v>
      </c>
      <c r="C488" s="755">
        <v>6360.2</v>
      </c>
      <c r="D488" s="976">
        <f t="shared" si="19"/>
        <v>2120.0666666666666</v>
      </c>
      <c r="E488" s="975">
        <f t="shared" si="20"/>
        <v>6360200</v>
      </c>
    </row>
    <row r="489" spans="1:5" ht="27.75" customHeight="1" x14ac:dyDescent="0.25">
      <c r="A489" s="725" t="s">
        <v>119</v>
      </c>
      <c r="B489" s="725"/>
      <c r="C489" s="755"/>
      <c r="D489" s="976">
        <f t="shared" si="19"/>
        <v>0</v>
      </c>
      <c r="E489" s="975">
        <f t="shared" si="20"/>
        <v>0</v>
      </c>
    </row>
    <row r="490" spans="1:5" ht="27.75" customHeight="1" x14ac:dyDescent="0.25">
      <c r="A490" s="726" t="s">
        <v>120</v>
      </c>
      <c r="B490" s="725" t="s">
        <v>292</v>
      </c>
      <c r="C490" s="755">
        <v>140.74</v>
      </c>
      <c r="D490" s="976">
        <f t="shared" si="19"/>
        <v>46.913333333333334</v>
      </c>
      <c r="E490" s="975">
        <f t="shared" si="20"/>
        <v>140740</v>
      </c>
    </row>
    <row r="491" spans="1:5" ht="27.75" customHeight="1" x14ac:dyDescent="0.25">
      <c r="A491" s="726" t="s">
        <v>121</v>
      </c>
      <c r="B491" s="725" t="s">
        <v>292</v>
      </c>
      <c r="C491" s="755">
        <v>1217.18</v>
      </c>
      <c r="D491" s="976">
        <f t="shared" si="19"/>
        <v>405.72666666666669</v>
      </c>
      <c r="E491" s="975">
        <f t="shared" si="20"/>
        <v>1217180</v>
      </c>
    </row>
    <row r="492" spans="1:5" ht="27.75" customHeight="1" x14ac:dyDescent="0.25">
      <c r="A492" s="725" t="s">
        <v>122</v>
      </c>
      <c r="B492" s="725"/>
      <c r="C492" s="755"/>
      <c r="D492" s="976">
        <f t="shared" si="19"/>
        <v>0</v>
      </c>
      <c r="E492" s="975">
        <f t="shared" si="20"/>
        <v>0</v>
      </c>
    </row>
    <row r="493" spans="1:5" ht="27.75" customHeight="1" x14ac:dyDescent="0.25">
      <c r="A493" s="726" t="s">
        <v>123</v>
      </c>
      <c r="B493" s="725" t="s">
        <v>292</v>
      </c>
      <c r="C493" s="755">
        <v>241.91</v>
      </c>
      <c r="D493" s="976">
        <f t="shared" si="19"/>
        <v>80.63666666666667</v>
      </c>
      <c r="E493" s="975">
        <f t="shared" si="20"/>
        <v>241910</v>
      </c>
    </row>
    <row r="494" spans="1:5" ht="27.75" customHeight="1" x14ac:dyDescent="0.25">
      <c r="A494" s="726" t="s">
        <v>124</v>
      </c>
      <c r="B494" s="725" t="s">
        <v>292</v>
      </c>
      <c r="C494" s="755">
        <v>241.91</v>
      </c>
      <c r="D494" s="976">
        <f t="shared" si="19"/>
        <v>80.63666666666667</v>
      </c>
      <c r="E494" s="975">
        <f t="shared" si="20"/>
        <v>241910</v>
      </c>
    </row>
    <row r="495" spans="1:5" ht="27.75" customHeight="1" x14ac:dyDescent="0.25">
      <c r="A495" s="726" t="s">
        <v>125</v>
      </c>
      <c r="B495" s="725" t="s">
        <v>292</v>
      </c>
      <c r="C495" s="755">
        <v>128.94999999999999</v>
      </c>
      <c r="D495" s="976">
        <f t="shared" si="19"/>
        <v>42.983333333333327</v>
      </c>
      <c r="E495" s="975">
        <f t="shared" si="20"/>
        <v>128949.99999999999</v>
      </c>
    </row>
    <row r="496" spans="1:5" ht="27.75" customHeight="1" x14ac:dyDescent="0.25">
      <c r="A496" s="725" t="s">
        <v>126</v>
      </c>
      <c r="B496" s="725"/>
      <c r="C496" s="757"/>
      <c r="D496" s="976">
        <f t="shared" si="19"/>
        <v>0</v>
      </c>
      <c r="E496" s="975">
        <f t="shared" si="20"/>
        <v>0</v>
      </c>
    </row>
    <row r="497" spans="1:5" ht="27.75" customHeight="1" x14ac:dyDescent="0.25">
      <c r="A497" s="726" t="s">
        <v>127</v>
      </c>
      <c r="B497" s="725" t="s">
        <v>292</v>
      </c>
      <c r="C497" s="755">
        <v>373.27</v>
      </c>
      <c r="D497" s="976">
        <f t="shared" si="19"/>
        <v>124.42333333333333</v>
      </c>
      <c r="E497" s="975">
        <f t="shared" si="20"/>
        <v>373270</v>
      </c>
    </row>
    <row r="498" spans="1:5" ht="27.75" customHeight="1" x14ac:dyDescent="0.25">
      <c r="A498" s="726" t="s">
        <v>128</v>
      </c>
      <c r="B498" s="725" t="s">
        <v>292</v>
      </c>
      <c r="C498" s="755">
        <v>392.67</v>
      </c>
      <c r="D498" s="976">
        <f t="shared" si="19"/>
        <v>130.89000000000001</v>
      </c>
      <c r="E498" s="975">
        <f t="shared" si="20"/>
        <v>392670</v>
      </c>
    </row>
    <row r="499" spans="1:5" ht="27.75" customHeight="1" x14ac:dyDescent="0.25">
      <c r="A499" s="726" t="s">
        <v>129</v>
      </c>
      <c r="B499" s="725" t="s">
        <v>292</v>
      </c>
      <c r="C499" s="755">
        <v>383.56</v>
      </c>
      <c r="D499" s="976">
        <f t="shared" si="19"/>
        <v>127.85333333333334</v>
      </c>
      <c r="E499" s="975">
        <f t="shared" si="20"/>
        <v>383560</v>
      </c>
    </row>
    <row r="500" spans="1:5" ht="27.75" customHeight="1" x14ac:dyDescent="0.25">
      <c r="A500" s="726" t="s">
        <v>130</v>
      </c>
      <c r="B500" s="725" t="s">
        <v>292</v>
      </c>
      <c r="C500" s="755">
        <v>445.41</v>
      </c>
      <c r="D500" s="976">
        <f t="shared" si="19"/>
        <v>148.47</v>
      </c>
      <c r="E500" s="975">
        <f t="shared" si="20"/>
        <v>445410</v>
      </c>
    </row>
    <row r="501" spans="1:5" ht="27.75" customHeight="1" x14ac:dyDescent="0.25">
      <c r="A501" s="726" t="s">
        <v>131</v>
      </c>
      <c r="B501" s="725" t="s">
        <v>292</v>
      </c>
      <c r="C501" s="755">
        <v>178.91</v>
      </c>
      <c r="D501" s="976">
        <f t="shared" si="19"/>
        <v>59.636666666666663</v>
      </c>
      <c r="E501" s="975">
        <f t="shared" si="20"/>
        <v>178910</v>
      </c>
    </row>
    <row r="502" spans="1:5" ht="27.75" customHeight="1" x14ac:dyDescent="0.25">
      <c r="A502" s="726" t="s">
        <v>132</v>
      </c>
      <c r="B502" s="725" t="s">
        <v>292</v>
      </c>
      <c r="C502" s="755">
        <v>99.46</v>
      </c>
      <c r="D502" s="976">
        <f t="shared" si="19"/>
        <v>33.153333333333329</v>
      </c>
      <c r="E502" s="975">
        <f t="shared" si="20"/>
        <v>99460</v>
      </c>
    </row>
    <row r="503" spans="1:5" ht="27.75" customHeight="1" x14ac:dyDescent="0.25">
      <c r="A503" s="725" t="s">
        <v>133</v>
      </c>
      <c r="B503" s="725"/>
      <c r="C503" s="755"/>
      <c r="D503" s="976">
        <f t="shared" si="19"/>
        <v>0</v>
      </c>
      <c r="E503" s="975">
        <f t="shared" si="20"/>
        <v>0</v>
      </c>
    </row>
    <row r="504" spans="1:5" ht="27.75" customHeight="1" x14ac:dyDescent="0.25">
      <c r="A504" s="726" t="s">
        <v>134</v>
      </c>
      <c r="B504" s="725" t="s">
        <v>292</v>
      </c>
      <c r="C504" s="755">
        <v>105.42</v>
      </c>
      <c r="D504" s="976">
        <f t="shared" ref="D504:D567" si="21">C504/3</f>
        <v>35.14</v>
      </c>
      <c r="E504" s="975">
        <f t="shared" si="20"/>
        <v>105420</v>
      </c>
    </row>
    <row r="505" spans="1:5" ht="27.75" customHeight="1" x14ac:dyDescent="0.25">
      <c r="A505" s="726" t="s">
        <v>135</v>
      </c>
      <c r="B505" s="725" t="s">
        <v>292</v>
      </c>
      <c r="C505" s="755">
        <v>105.42</v>
      </c>
      <c r="D505" s="976">
        <f t="shared" si="21"/>
        <v>35.14</v>
      </c>
      <c r="E505" s="975">
        <f t="shared" si="20"/>
        <v>105420</v>
      </c>
    </row>
    <row r="506" spans="1:5" ht="27.75" customHeight="1" x14ac:dyDescent="0.25">
      <c r="A506" s="726" t="s">
        <v>136</v>
      </c>
      <c r="B506" s="725" t="s">
        <v>292</v>
      </c>
      <c r="C506" s="755">
        <v>105.36</v>
      </c>
      <c r="D506" s="976">
        <f t="shared" si="21"/>
        <v>35.119999999999997</v>
      </c>
      <c r="E506" s="975">
        <f t="shared" si="20"/>
        <v>105360</v>
      </c>
    </row>
    <row r="507" spans="1:5" ht="27.75" customHeight="1" x14ac:dyDescent="0.25">
      <c r="A507" s="725" t="s">
        <v>137</v>
      </c>
      <c r="B507" s="725"/>
      <c r="C507" s="755"/>
      <c r="D507" s="976">
        <f t="shared" si="21"/>
        <v>0</v>
      </c>
      <c r="E507" s="975">
        <f t="shared" si="20"/>
        <v>0</v>
      </c>
    </row>
    <row r="508" spans="1:5" ht="27.75" customHeight="1" x14ac:dyDescent="0.25">
      <c r="A508" s="726" t="s">
        <v>138</v>
      </c>
      <c r="B508" s="725" t="s">
        <v>292</v>
      </c>
      <c r="C508" s="755">
        <v>376.35</v>
      </c>
      <c r="D508" s="976">
        <f t="shared" si="21"/>
        <v>125.45</v>
      </c>
      <c r="E508" s="975">
        <f t="shared" si="20"/>
        <v>376350</v>
      </c>
    </row>
    <row r="509" spans="1:5" ht="27.75" customHeight="1" x14ac:dyDescent="0.25">
      <c r="A509" s="726" t="s">
        <v>139</v>
      </c>
      <c r="B509" s="725" t="s">
        <v>292</v>
      </c>
      <c r="C509" s="755">
        <v>342.94</v>
      </c>
      <c r="D509" s="976">
        <f t="shared" si="21"/>
        <v>114.31333333333333</v>
      </c>
      <c r="E509" s="975">
        <f t="shared" si="20"/>
        <v>342940</v>
      </c>
    </row>
    <row r="510" spans="1:5" ht="27.75" customHeight="1" x14ac:dyDescent="0.25">
      <c r="A510" s="726" t="s">
        <v>140</v>
      </c>
      <c r="B510" s="725" t="s">
        <v>292</v>
      </c>
      <c r="C510" s="755">
        <v>263.76</v>
      </c>
      <c r="D510" s="976">
        <f t="shared" si="21"/>
        <v>87.92</v>
      </c>
      <c r="E510" s="975">
        <f t="shared" si="20"/>
        <v>263760</v>
      </c>
    </row>
    <row r="511" spans="1:5" ht="27.75" customHeight="1" x14ac:dyDescent="0.25">
      <c r="A511" s="726" t="s">
        <v>141</v>
      </c>
      <c r="B511" s="725" t="s">
        <v>292</v>
      </c>
      <c r="C511" s="755">
        <v>335.1</v>
      </c>
      <c r="D511" s="976">
        <f t="shared" si="21"/>
        <v>111.7</v>
      </c>
      <c r="E511" s="975">
        <f t="shared" si="20"/>
        <v>335100</v>
      </c>
    </row>
    <row r="512" spans="1:5" ht="27.75" customHeight="1" x14ac:dyDescent="0.25">
      <c r="A512" s="725" t="s">
        <v>142</v>
      </c>
      <c r="B512" s="725"/>
      <c r="C512" s="755"/>
      <c r="D512" s="976">
        <f t="shared" si="21"/>
        <v>0</v>
      </c>
      <c r="E512" s="975">
        <f t="shared" si="20"/>
        <v>0</v>
      </c>
    </row>
    <row r="513" spans="1:5" ht="27.75" customHeight="1" x14ac:dyDescent="0.25">
      <c r="A513" s="726" t="s">
        <v>143</v>
      </c>
      <c r="B513" s="725" t="s">
        <v>292</v>
      </c>
      <c r="C513" s="755">
        <v>292.83999999999997</v>
      </c>
      <c r="D513" s="976">
        <f t="shared" si="21"/>
        <v>97.61333333333333</v>
      </c>
      <c r="E513" s="975">
        <f t="shared" si="20"/>
        <v>292840</v>
      </c>
    </row>
    <row r="514" spans="1:5" ht="27.75" customHeight="1" x14ac:dyDescent="0.25">
      <c r="A514" s="726" t="s">
        <v>144</v>
      </c>
      <c r="B514" s="725" t="s">
        <v>292</v>
      </c>
      <c r="C514" s="755">
        <v>255.88</v>
      </c>
      <c r="D514" s="976">
        <f t="shared" si="21"/>
        <v>85.293333333333337</v>
      </c>
      <c r="E514" s="975">
        <f t="shared" si="20"/>
        <v>255880</v>
      </c>
    </row>
    <row r="515" spans="1:5" ht="27.75" customHeight="1" x14ac:dyDescent="0.25">
      <c r="A515" s="726" t="s">
        <v>145</v>
      </c>
      <c r="B515" s="725" t="s">
        <v>292</v>
      </c>
      <c r="C515" s="755">
        <v>76.599999999999994</v>
      </c>
      <c r="D515" s="976">
        <f t="shared" si="21"/>
        <v>25.533333333333331</v>
      </c>
      <c r="E515" s="975">
        <f t="shared" si="20"/>
        <v>76600</v>
      </c>
    </row>
    <row r="516" spans="1:5" ht="27.75" customHeight="1" x14ac:dyDescent="0.25">
      <c r="A516" s="725" t="s">
        <v>146</v>
      </c>
      <c r="B516" s="725"/>
      <c r="C516" s="755"/>
      <c r="D516" s="976">
        <f t="shared" si="21"/>
        <v>0</v>
      </c>
      <c r="E516" s="975">
        <f t="shared" si="20"/>
        <v>0</v>
      </c>
    </row>
    <row r="517" spans="1:5" ht="27.75" customHeight="1" x14ac:dyDescent="0.25">
      <c r="A517" s="726" t="s">
        <v>147</v>
      </c>
      <c r="B517" s="725" t="s">
        <v>292</v>
      </c>
      <c r="C517" s="755">
        <v>955.04</v>
      </c>
      <c r="D517" s="976">
        <f t="shared" si="21"/>
        <v>318.34666666666664</v>
      </c>
      <c r="E517" s="975">
        <f t="shared" si="20"/>
        <v>955040</v>
      </c>
    </row>
    <row r="518" spans="1:5" ht="27.75" customHeight="1" x14ac:dyDescent="0.25">
      <c r="A518" s="725" t="s">
        <v>148</v>
      </c>
      <c r="B518" s="725"/>
      <c r="C518" s="755"/>
      <c r="D518" s="976">
        <f t="shared" si="21"/>
        <v>0</v>
      </c>
      <c r="E518" s="975">
        <f t="shared" si="20"/>
        <v>0</v>
      </c>
    </row>
    <row r="519" spans="1:5" ht="27.75" customHeight="1" x14ac:dyDescent="0.25">
      <c r="A519" s="726" t="s">
        <v>149</v>
      </c>
      <c r="B519" s="725" t="s">
        <v>292</v>
      </c>
      <c r="C519" s="755">
        <v>47.08</v>
      </c>
      <c r="D519" s="976">
        <f t="shared" si="21"/>
        <v>15.693333333333333</v>
      </c>
      <c r="E519" s="975">
        <f t="shared" si="20"/>
        <v>47080</v>
      </c>
    </row>
    <row r="520" spans="1:5" ht="27.75" customHeight="1" x14ac:dyDescent="0.25">
      <c r="A520" s="725" t="s">
        <v>150</v>
      </c>
      <c r="B520" s="725"/>
      <c r="C520" s="755"/>
      <c r="D520" s="976">
        <f t="shared" si="21"/>
        <v>0</v>
      </c>
      <c r="E520" s="975">
        <f t="shared" si="20"/>
        <v>0</v>
      </c>
    </row>
    <row r="521" spans="1:5" ht="27.75" customHeight="1" x14ac:dyDescent="0.25">
      <c r="A521" s="726" t="s">
        <v>151</v>
      </c>
      <c r="B521" s="725" t="s">
        <v>292</v>
      </c>
      <c r="C521" s="755">
        <v>51.3</v>
      </c>
      <c r="D521" s="976">
        <f t="shared" si="21"/>
        <v>17.099999999999998</v>
      </c>
      <c r="E521" s="975">
        <f t="shared" si="20"/>
        <v>51300</v>
      </c>
    </row>
    <row r="522" spans="1:5" ht="27.75" customHeight="1" x14ac:dyDescent="0.25">
      <c r="A522" s="725" t="s">
        <v>152</v>
      </c>
      <c r="B522" s="725"/>
      <c r="C522" s="755"/>
      <c r="D522" s="976">
        <f t="shared" si="21"/>
        <v>0</v>
      </c>
      <c r="E522" s="975">
        <f t="shared" si="20"/>
        <v>0</v>
      </c>
    </row>
    <row r="523" spans="1:5" ht="27.75" customHeight="1" x14ac:dyDescent="0.25">
      <c r="A523" s="725" t="s">
        <v>152</v>
      </c>
      <c r="B523" s="725"/>
      <c r="C523" s="755">
        <v>18.73</v>
      </c>
      <c r="D523" s="976">
        <f t="shared" si="21"/>
        <v>6.2433333333333332</v>
      </c>
      <c r="E523" s="975">
        <f t="shared" si="20"/>
        <v>18730</v>
      </c>
    </row>
    <row r="524" spans="1:5" ht="27.75" customHeight="1" x14ac:dyDescent="0.25">
      <c r="A524" s="725" t="s">
        <v>153</v>
      </c>
      <c r="B524" s="725"/>
      <c r="C524" s="755"/>
      <c r="D524" s="976">
        <f t="shared" si="21"/>
        <v>0</v>
      </c>
      <c r="E524" s="975">
        <f t="shared" si="20"/>
        <v>0</v>
      </c>
    </row>
    <row r="525" spans="1:5" ht="27.75" customHeight="1" x14ac:dyDescent="0.25">
      <c r="A525" s="726" t="s">
        <v>154</v>
      </c>
      <c r="B525" s="725" t="s">
        <v>292</v>
      </c>
      <c r="C525" s="755">
        <v>18.73</v>
      </c>
      <c r="D525" s="976">
        <f t="shared" si="21"/>
        <v>6.2433333333333332</v>
      </c>
      <c r="E525" s="975">
        <f t="shared" si="20"/>
        <v>18730</v>
      </c>
    </row>
    <row r="526" spans="1:5" ht="27.75" customHeight="1" x14ac:dyDescent="0.25">
      <c r="A526" s="726" t="s">
        <v>155</v>
      </c>
      <c r="B526" s="725" t="s">
        <v>292</v>
      </c>
      <c r="C526" s="755">
        <v>65.98</v>
      </c>
      <c r="D526" s="976">
        <f t="shared" si="21"/>
        <v>21.993333333333336</v>
      </c>
      <c r="E526" s="975">
        <f t="shared" si="20"/>
        <v>65980</v>
      </c>
    </row>
    <row r="527" spans="1:5" ht="27.75" customHeight="1" x14ac:dyDescent="0.25">
      <c r="A527" s="725" t="s">
        <v>156</v>
      </c>
      <c r="B527" s="725"/>
      <c r="C527" s="755"/>
      <c r="D527" s="976">
        <f t="shared" si="21"/>
        <v>0</v>
      </c>
      <c r="E527" s="975">
        <f t="shared" si="20"/>
        <v>0</v>
      </c>
    </row>
    <row r="528" spans="1:5" ht="27.75" customHeight="1" x14ac:dyDescent="0.25">
      <c r="A528" s="726" t="s">
        <v>157</v>
      </c>
      <c r="B528" s="725" t="s">
        <v>292</v>
      </c>
      <c r="C528" s="755">
        <v>20.14</v>
      </c>
      <c r="D528" s="976">
        <f t="shared" si="21"/>
        <v>6.7133333333333338</v>
      </c>
      <c r="E528" s="975">
        <f t="shared" si="20"/>
        <v>20140</v>
      </c>
    </row>
    <row r="529" spans="1:5" ht="27.75" customHeight="1" x14ac:dyDescent="0.25">
      <c r="A529" s="726" t="s">
        <v>158</v>
      </c>
      <c r="B529" s="725" t="s">
        <v>292</v>
      </c>
      <c r="C529" s="755">
        <v>94.36</v>
      </c>
      <c r="D529" s="976">
        <f t="shared" si="21"/>
        <v>31.453333333333333</v>
      </c>
      <c r="E529" s="975">
        <f t="shared" si="20"/>
        <v>94360</v>
      </c>
    </row>
    <row r="530" spans="1:5" ht="27.75" customHeight="1" x14ac:dyDescent="0.25">
      <c r="A530" s="725" t="s">
        <v>159</v>
      </c>
      <c r="B530" s="725"/>
      <c r="C530" s="755"/>
      <c r="D530" s="976">
        <f t="shared" si="21"/>
        <v>0</v>
      </c>
      <c r="E530" s="975">
        <f t="shared" si="20"/>
        <v>0</v>
      </c>
    </row>
    <row r="531" spans="1:5" ht="27.75" customHeight="1" x14ac:dyDescent="0.25">
      <c r="A531" s="726" t="s">
        <v>160</v>
      </c>
      <c r="B531" s="725" t="s">
        <v>292</v>
      </c>
      <c r="C531" s="755">
        <v>41.55</v>
      </c>
      <c r="D531" s="976">
        <f t="shared" si="21"/>
        <v>13.85</v>
      </c>
      <c r="E531" s="975">
        <f t="shared" si="20"/>
        <v>41550</v>
      </c>
    </row>
    <row r="532" spans="1:5" ht="27.75" customHeight="1" x14ac:dyDescent="0.25">
      <c r="A532" s="726" t="s">
        <v>161</v>
      </c>
      <c r="B532" s="725" t="s">
        <v>292</v>
      </c>
      <c r="C532" s="755">
        <v>60.32</v>
      </c>
      <c r="D532" s="976">
        <f t="shared" si="21"/>
        <v>20.106666666666666</v>
      </c>
      <c r="E532" s="975">
        <f t="shared" si="20"/>
        <v>60320</v>
      </c>
    </row>
    <row r="533" spans="1:5" ht="27.75" customHeight="1" x14ac:dyDescent="0.25">
      <c r="A533" s="725" t="s">
        <v>162</v>
      </c>
      <c r="B533" s="725"/>
      <c r="C533" s="755"/>
      <c r="D533" s="976">
        <f t="shared" si="21"/>
        <v>0</v>
      </c>
      <c r="E533" s="975">
        <f t="shared" ref="E533:E584" si="22">C533*1000</f>
        <v>0</v>
      </c>
    </row>
    <row r="534" spans="1:5" ht="27.75" customHeight="1" x14ac:dyDescent="0.25">
      <c r="A534" s="726" t="s">
        <v>163</v>
      </c>
      <c r="B534" s="725" t="s">
        <v>292</v>
      </c>
      <c r="C534" s="755">
        <v>115.61</v>
      </c>
      <c r="D534" s="976">
        <f t="shared" si="21"/>
        <v>38.536666666666669</v>
      </c>
      <c r="E534" s="975">
        <f t="shared" si="22"/>
        <v>115610</v>
      </c>
    </row>
    <row r="535" spans="1:5" ht="27.75" customHeight="1" x14ac:dyDescent="0.25">
      <c r="A535" s="726" t="s">
        <v>164</v>
      </c>
      <c r="B535" s="725" t="s">
        <v>292</v>
      </c>
      <c r="C535" s="755">
        <v>115.61</v>
      </c>
      <c r="D535" s="976">
        <f t="shared" si="21"/>
        <v>38.536666666666669</v>
      </c>
      <c r="E535" s="975">
        <f t="shared" si="22"/>
        <v>115610</v>
      </c>
    </row>
    <row r="536" spans="1:5" ht="27.75" customHeight="1" x14ac:dyDescent="0.25">
      <c r="A536" s="726" t="s">
        <v>165</v>
      </c>
      <c r="B536" s="725" t="s">
        <v>292</v>
      </c>
      <c r="C536" s="755">
        <v>115.61</v>
      </c>
      <c r="D536" s="976">
        <f t="shared" si="21"/>
        <v>38.536666666666669</v>
      </c>
      <c r="E536" s="975">
        <f t="shared" si="22"/>
        <v>115610</v>
      </c>
    </row>
    <row r="537" spans="1:5" ht="27.75" customHeight="1" x14ac:dyDescent="0.25">
      <c r="A537" s="726" t="s">
        <v>166</v>
      </c>
      <c r="B537" s="725" t="s">
        <v>292</v>
      </c>
      <c r="C537" s="755">
        <v>1325.82</v>
      </c>
      <c r="D537" s="976">
        <f t="shared" si="21"/>
        <v>441.94</v>
      </c>
      <c r="E537" s="975">
        <f t="shared" si="22"/>
        <v>1325820</v>
      </c>
    </row>
    <row r="538" spans="1:5" ht="27.75" customHeight="1" x14ac:dyDescent="0.25">
      <c r="A538" s="726" t="s">
        <v>167</v>
      </c>
      <c r="B538" s="725" t="s">
        <v>292</v>
      </c>
      <c r="C538" s="755">
        <v>1798.35</v>
      </c>
      <c r="D538" s="976">
        <f t="shared" si="21"/>
        <v>599.44999999999993</v>
      </c>
      <c r="E538" s="975">
        <f t="shared" si="22"/>
        <v>1798350</v>
      </c>
    </row>
    <row r="539" spans="1:5" ht="27.75" customHeight="1" x14ac:dyDescent="0.25">
      <c r="A539" s="726" t="s">
        <v>168</v>
      </c>
      <c r="B539" s="725" t="s">
        <v>292</v>
      </c>
      <c r="C539" s="755">
        <v>1380.61</v>
      </c>
      <c r="D539" s="976">
        <f t="shared" si="21"/>
        <v>460.20333333333332</v>
      </c>
      <c r="E539" s="975">
        <f t="shared" si="22"/>
        <v>1380610</v>
      </c>
    </row>
    <row r="540" spans="1:5" ht="27.75" customHeight="1" x14ac:dyDescent="0.25">
      <c r="A540" s="726" t="s">
        <v>169</v>
      </c>
      <c r="B540" s="725" t="s">
        <v>292</v>
      </c>
      <c r="C540" s="755">
        <v>1749.22</v>
      </c>
      <c r="D540" s="976">
        <f t="shared" si="21"/>
        <v>583.07333333333338</v>
      </c>
      <c r="E540" s="975">
        <f t="shared" si="22"/>
        <v>1749220</v>
      </c>
    </row>
    <row r="541" spans="1:5" ht="27.75" customHeight="1" x14ac:dyDescent="0.25">
      <c r="A541" s="726" t="s">
        <v>170</v>
      </c>
      <c r="B541" s="725" t="s">
        <v>292</v>
      </c>
      <c r="C541" s="755">
        <v>1759.28</v>
      </c>
      <c r="D541" s="976">
        <f t="shared" si="21"/>
        <v>586.42666666666662</v>
      </c>
      <c r="E541" s="975">
        <f t="shared" si="22"/>
        <v>1759280</v>
      </c>
    </row>
    <row r="542" spans="1:5" ht="27.75" customHeight="1" x14ac:dyDescent="0.25">
      <c r="A542" s="725" t="s">
        <v>171</v>
      </c>
      <c r="B542" s="725"/>
      <c r="C542" s="755"/>
      <c r="D542" s="976">
        <f t="shared" si="21"/>
        <v>0</v>
      </c>
      <c r="E542" s="975">
        <f t="shared" si="22"/>
        <v>0</v>
      </c>
    </row>
    <row r="543" spans="1:5" ht="27.75" customHeight="1" x14ac:dyDescent="0.25">
      <c r="A543" s="726" t="s">
        <v>172</v>
      </c>
      <c r="B543" s="725" t="s">
        <v>292</v>
      </c>
      <c r="C543" s="755">
        <v>94.36</v>
      </c>
      <c r="D543" s="976">
        <f t="shared" si="21"/>
        <v>31.453333333333333</v>
      </c>
      <c r="E543" s="975">
        <f t="shared" si="22"/>
        <v>94360</v>
      </c>
    </row>
    <row r="544" spans="1:5" ht="27.75" customHeight="1" x14ac:dyDescent="0.25">
      <c r="A544" s="726" t="s">
        <v>173</v>
      </c>
      <c r="B544" s="725" t="s">
        <v>292</v>
      </c>
      <c r="C544" s="755">
        <v>94.36</v>
      </c>
      <c r="D544" s="976">
        <f t="shared" si="21"/>
        <v>31.453333333333333</v>
      </c>
      <c r="E544" s="975">
        <f t="shared" si="22"/>
        <v>94360</v>
      </c>
    </row>
    <row r="545" spans="1:5" ht="27.75" customHeight="1" x14ac:dyDescent="0.25">
      <c r="A545" s="725" t="s">
        <v>174</v>
      </c>
      <c r="B545" s="725"/>
      <c r="C545" s="755"/>
      <c r="D545" s="976">
        <f t="shared" si="21"/>
        <v>0</v>
      </c>
      <c r="E545" s="975">
        <f t="shared" si="22"/>
        <v>0</v>
      </c>
    </row>
    <row r="546" spans="1:5" ht="27.75" customHeight="1" x14ac:dyDescent="0.25">
      <c r="A546" s="726" t="s">
        <v>175</v>
      </c>
      <c r="B546" s="725" t="s">
        <v>292</v>
      </c>
      <c r="C546" s="755">
        <v>17.32</v>
      </c>
      <c r="D546" s="976">
        <f t="shared" si="21"/>
        <v>5.7733333333333334</v>
      </c>
      <c r="E546" s="975">
        <f t="shared" si="22"/>
        <v>17320</v>
      </c>
    </row>
    <row r="547" spans="1:5" ht="27.75" customHeight="1" x14ac:dyDescent="0.25">
      <c r="A547" s="725" t="s">
        <v>176</v>
      </c>
      <c r="B547" s="745"/>
      <c r="C547" s="755"/>
      <c r="D547" s="976">
        <f t="shared" si="21"/>
        <v>0</v>
      </c>
      <c r="E547" s="975">
        <f t="shared" si="22"/>
        <v>0</v>
      </c>
    </row>
    <row r="548" spans="1:5" ht="27.75" customHeight="1" x14ac:dyDescent="0.25">
      <c r="A548" s="726" t="s">
        <v>177</v>
      </c>
      <c r="B548" s="725" t="s">
        <v>292</v>
      </c>
      <c r="C548" s="755">
        <v>93.66</v>
      </c>
      <c r="D548" s="976">
        <f t="shared" si="21"/>
        <v>31.22</v>
      </c>
      <c r="E548" s="975">
        <f t="shared" si="22"/>
        <v>93660</v>
      </c>
    </row>
    <row r="549" spans="1:5" ht="27.75" customHeight="1" x14ac:dyDescent="0.25">
      <c r="A549" s="726" t="s">
        <v>178</v>
      </c>
      <c r="B549" s="725" t="s">
        <v>292</v>
      </c>
      <c r="C549" s="755">
        <v>147.78</v>
      </c>
      <c r="D549" s="976">
        <f t="shared" si="21"/>
        <v>49.26</v>
      </c>
      <c r="E549" s="975">
        <f t="shared" si="22"/>
        <v>147780</v>
      </c>
    </row>
    <row r="550" spans="1:5" ht="27.75" customHeight="1" x14ac:dyDescent="0.25">
      <c r="A550" s="726" t="s">
        <v>179</v>
      </c>
      <c r="B550" s="725" t="s">
        <v>292</v>
      </c>
      <c r="C550" s="755">
        <v>359.56</v>
      </c>
      <c r="D550" s="976">
        <f t="shared" si="21"/>
        <v>119.85333333333334</v>
      </c>
      <c r="E550" s="975">
        <f t="shared" si="22"/>
        <v>359560</v>
      </c>
    </row>
    <row r="551" spans="1:5" ht="27.75" customHeight="1" x14ac:dyDescent="0.25">
      <c r="A551" s="725" t="s">
        <v>180</v>
      </c>
      <c r="B551" s="725"/>
      <c r="C551" s="755"/>
      <c r="D551" s="976">
        <f t="shared" si="21"/>
        <v>0</v>
      </c>
      <c r="E551" s="975">
        <f t="shared" si="22"/>
        <v>0</v>
      </c>
    </row>
    <row r="552" spans="1:5" ht="27.75" customHeight="1" x14ac:dyDescent="0.25">
      <c r="A552" s="726" t="s">
        <v>181</v>
      </c>
      <c r="B552" s="725" t="s">
        <v>292</v>
      </c>
      <c r="C552" s="755">
        <v>20.14</v>
      </c>
      <c r="D552" s="976">
        <f t="shared" si="21"/>
        <v>6.7133333333333338</v>
      </c>
      <c r="E552" s="975">
        <f t="shared" si="22"/>
        <v>20140</v>
      </c>
    </row>
    <row r="553" spans="1:5" ht="27.75" customHeight="1" x14ac:dyDescent="0.25">
      <c r="A553" s="726" t="s">
        <v>182</v>
      </c>
      <c r="B553" s="725" t="s">
        <v>292</v>
      </c>
      <c r="C553" s="755">
        <v>34.82</v>
      </c>
      <c r="D553" s="976">
        <f t="shared" si="21"/>
        <v>11.606666666666667</v>
      </c>
      <c r="E553" s="975">
        <f t="shared" si="22"/>
        <v>34820</v>
      </c>
    </row>
    <row r="554" spans="1:5" ht="27.75" customHeight="1" x14ac:dyDescent="0.25">
      <c r="A554" s="725" t="s">
        <v>183</v>
      </c>
      <c r="B554" s="725"/>
      <c r="C554" s="755"/>
      <c r="D554" s="976">
        <f t="shared" si="21"/>
        <v>0</v>
      </c>
      <c r="E554" s="975">
        <f t="shared" si="22"/>
        <v>0</v>
      </c>
    </row>
    <row r="555" spans="1:5" ht="27.75" customHeight="1" x14ac:dyDescent="0.25">
      <c r="A555" s="726" t="s">
        <v>184</v>
      </c>
      <c r="B555" s="725" t="s">
        <v>292</v>
      </c>
      <c r="C555" s="755">
        <v>207.76</v>
      </c>
      <c r="D555" s="976">
        <f t="shared" si="21"/>
        <v>69.25333333333333</v>
      </c>
      <c r="E555" s="975">
        <f t="shared" si="22"/>
        <v>207760</v>
      </c>
    </row>
    <row r="556" spans="1:5" ht="27.75" customHeight="1" x14ac:dyDescent="0.25">
      <c r="A556" s="726" t="s">
        <v>185</v>
      </c>
      <c r="B556" s="725" t="s">
        <v>292</v>
      </c>
      <c r="C556" s="755">
        <v>26777.84</v>
      </c>
      <c r="D556" s="976">
        <f t="shared" si="21"/>
        <v>8925.9466666666667</v>
      </c>
      <c r="E556" s="975">
        <f t="shared" si="22"/>
        <v>26777840</v>
      </c>
    </row>
    <row r="557" spans="1:5" ht="27.75" customHeight="1" x14ac:dyDescent="0.25">
      <c r="A557" s="725" t="s">
        <v>186</v>
      </c>
      <c r="B557" s="725"/>
      <c r="C557" s="755"/>
      <c r="D557" s="976">
        <f t="shared" si="21"/>
        <v>0</v>
      </c>
      <c r="E557" s="975">
        <f t="shared" si="22"/>
        <v>0</v>
      </c>
    </row>
    <row r="558" spans="1:5" ht="27.75" customHeight="1" x14ac:dyDescent="0.25">
      <c r="A558" s="726" t="s">
        <v>187</v>
      </c>
      <c r="B558" s="725" t="s">
        <v>292</v>
      </c>
      <c r="C558" s="755">
        <v>21.55</v>
      </c>
      <c r="D558" s="976">
        <f t="shared" si="21"/>
        <v>7.1833333333333336</v>
      </c>
      <c r="E558" s="975">
        <f t="shared" si="22"/>
        <v>21550</v>
      </c>
    </row>
    <row r="559" spans="1:5" ht="27.75" customHeight="1" x14ac:dyDescent="0.25">
      <c r="A559" s="725" t="s">
        <v>188</v>
      </c>
      <c r="B559" s="725"/>
      <c r="C559" s="755"/>
      <c r="D559" s="976">
        <f t="shared" si="21"/>
        <v>0</v>
      </c>
      <c r="E559" s="975">
        <f t="shared" si="22"/>
        <v>0</v>
      </c>
    </row>
    <row r="560" spans="1:5" ht="27.75" customHeight="1" x14ac:dyDescent="0.25">
      <c r="A560" s="726" t="s">
        <v>189</v>
      </c>
      <c r="B560" s="725" t="s">
        <v>292</v>
      </c>
      <c r="C560" s="755">
        <v>22.05</v>
      </c>
      <c r="D560" s="976">
        <f t="shared" si="21"/>
        <v>7.3500000000000005</v>
      </c>
      <c r="E560" s="975">
        <f t="shared" si="22"/>
        <v>22050</v>
      </c>
    </row>
    <row r="561" spans="1:5" ht="27.75" customHeight="1" x14ac:dyDescent="0.25">
      <c r="A561" s="726" t="s">
        <v>190</v>
      </c>
      <c r="B561" s="725" t="s">
        <v>292</v>
      </c>
      <c r="C561" s="755">
        <v>22.05</v>
      </c>
      <c r="D561" s="976">
        <f t="shared" si="21"/>
        <v>7.3500000000000005</v>
      </c>
      <c r="E561" s="975">
        <f t="shared" si="22"/>
        <v>22050</v>
      </c>
    </row>
    <row r="562" spans="1:5" ht="27.75" customHeight="1" x14ac:dyDescent="0.25">
      <c r="A562" s="725" t="s">
        <v>191</v>
      </c>
      <c r="B562" s="725"/>
      <c r="C562" s="755"/>
      <c r="D562" s="976">
        <f t="shared" si="21"/>
        <v>0</v>
      </c>
      <c r="E562" s="975">
        <f t="shared" si="22"/>
        <v>0</v>
      </c>
    </row>
    <row r="563" spans="1:5" ht="27.75" customHeight="1" x14ac:dyDescent="0.25">
      <c r="A563" s="726" t="s">
        <v>192</v>
      </c>
      <c r="B563" s="725" t="s">
        <v>292</v>
      </c>
      <c r="C563" s="755">
        <v>174.92</v>
      </c>
      <c r="D563" s="976">
        <f t="shared" si="21"/>
        <v>58.306666666666665</v>
      </c>
      <c r="E563" s="975">
        <f t="shared" si="22"/>
        <v>174920</v>
      </c>
    </row>
    <row r="564" spans="1:5" ht="27.75" customHeight="1" x14ac:dyDescent="0.25">
      <c r="A564" s="725" t="s">
        <v>193</v>
      </c>
      <c r="B564" s="725"/>
      <c r="C564" s="755"/>
      <c r="D564" s="976">
        <f t="shared" si="21"/>
        <v>0</v>
      </c>
      <c r="E564" s="975">
        <f t="shared" si="22"/>
        <v>0</v>
      </c>
    </row>
    <row r="565" spans="1:5" ht="27.75" customHeight="1" x14ac:dyDescent="0.25">
      <c r="A565" s="726" t="s">
        <v>194</v>
      </c>
      <c r="B565" s="725" t="s">
        <v>292</v>
      </c>
      <c r="C565" s="755">
        <v>29.96</v>
      </c>
      <c r="D565" s="976">
        <f t="shared" si="21"/>
        <v>9.9866666666666664</v>
      </c>
      <c r="E565" s="975">
        <f t="shared" si="22"/>
        <v>29960</v>
      </c>
    </row>
    <row r="566" spans="1:5" ht="27.75" customHeight="1" x14ac:dyDescent="0.25">
      <c r="A566" s="725" t="s">
        <v>195</v>
      </c>
      <c r="B566" s="725"/>
      <c r="C566" s="755"/>
      <c r="D566" s="976">
        <f t="shared" si="21"/>
        <v>0</v>
      </c>
      <c r="E566" s="975">
        <f t="shared" si="22"/>
        <v>0</v>
      </c>
    </row>
    <row r="567" spans="1:5" ht="27.75" customHeight="1" x14ac:dyDescent="0.25">
      <c r="A567" s="726" t="s">
        <v>196</v>
      </c>
      <c r="B567" s="725" t="s">
        <v>292</v>
      </c>
      <c r="C567" s="755">
        <v>56.7</v>
      </c>
      <c r="D567" s="976">
        <f t="shared" si="21"/>
        <v>18.900000000000002</v>
      </c>
      <c r="E567" s="975">
        <f t="shared" si="22"/>
        <v>56700</v>
      </c>
    </row>
    <row r="568" spans="1:5" ht="27.75" customHeight="1" x14ac:dyDescent="0.25">
      <c r="A568" s="725" t="s">
        <v>197</v>
      </c>
      <c r="B568" s="725"/>
      <c r="C568" s="755"/>
      <c r="D568" s="976">
        <f t="shared" ref="D568:D585" si="23">C568/3</f>
        <v>0</v>
      </c>
      <c r="E568" s="975">
        <f t="shared" si="22"/>
        <v>0</v>
      </c>
    </row>
    <row r="569" spans="1:5" ht="27.75" customHeight="1" x14ac:dyDescent="0.25">
      <c r="A569" s="726" t="s">
        <v>198</v>
      </c>
      <c r="B569" s="725" t="s">
        <v>292</v>
      </c>
      <c r="C569" s="755">
        <v>11148.78</v>
      </c>
      <c r="D569" s="976">
        <f t="shared" si="23"/>
        <v>3716.26</v>
      </c>
      <c r="E569" s="975">
        <f t="shared" si="22"/>
        <v>11148780</v>
      </c>
    </row>
    <row r="570" spans="1:5" ht="27.75" customHeight="1" x14ac:dyDescent="0.25">
      <c r="A570" s="726" t="s">
        <v>199</v>
      </c>
      <c r="B570" s="725" t="s">
        <v>292</v>
      </c>
      <c r="C570" s="755">
        <v>11148.78</v>
      </c>
      <c r="D570" s="976">
        <f t="shared" si="23"/>
        <v>3716.26</v>
      </c>
      <c r="E570" s="975">
        <f t="shared" si="22"/>
        <v>11148780</v>
      </c>
    </row>
    <row r="571" spans="1:5" ht="27.75" customHeight="1" x14ac:dyDescent="0.25">
      <c r="A571" s="726" t="s">
        <v>200</v>
      </c>
      <c r="B571" s="725" t="s">
        <v>292</v>
      </c>
      <c r="C571" s="755">
        <v>8377.5</v>
      </c>
      <c r="D571" s="976">
        <f t="shared" si="23"/>
        <v>2792.5</v>
      </c>
      <c r="E571" s="975">
        <f t="shared" si="22"/>
        <v>8377500</v>
      </c>
    </row>
    <row r="572" spans="1:5" ht="27.75" customHeight="1" x14ac:dyDescent="0.25">
      <c r="A572" s="726" t="s">
        <v>201</v>
      </c>
      <c r="B572" s="725" t="s">
        <v>292</v>
      </c>
      <c r="C572" s="755">
        <v>2245.17</v>
      </c>
      <c r="D572" s="976">
        <f t="shared" si="23"/>
        <v>748.39</v>
      </c>
      <c r="E572" s="975">
        <f t="shared" si="22"/>
        <v>2245170</v>
      </c>
    </row>
    <row r="573" spans="1:5" ht="27.75" customHeight="1" x14ac:dyDescent="0.25">
      <c r="A573" s="726" t="s">
        <v>202</v>
      </c>
      <c r="B573" s="725" t="s">
        <v>292</v>
      </c>
      <c r="C573" s="755">
        <v>67.52</v>
      </c>
      <c r="D573" s="976">
        <f t="shared" si="23"/>
        <v>22.506666666666664</v>
      </c>
      <c r="E573" s="975">
        <f t="shared" si="22"/>
        <v>67520</v>
      </c>
    </row>
    <row r="574" spans="1:5" ht="27.75" customHeight="1" x14ac:dyDescent="0.25">
      <c r="A574" s="726" t="s">
        <v>203</v>
      </c>
      <c r="B574" s="725" t="s">
        <v>292</v>
      </c>
      <c r="C574" s="755">
        <v>206.89</v>
      </c>
      <c r="D574" s="976">
        <f t="shared" si="23"/>
        <v>68.963333333333324</v>
      </c>
      <c r="E574" s="975">
        <f t="shared" si="22"/>
        <v>206890</v>
      </c>
    </row>
    <row r="575" spans="1:5" ht="27.75" customHeight="1" x14ac:dyDescent="0.25">
      <c r="A575" s="725" t="s">
        <v>204</v>
      </c>
      <c r="B575" s="725"/>
      <c r="C575" s="755"/>
      <c r="D575" s="976">
        <f t="shared" si="23"/>
        <v>0</v>
      </c>
      <c r="E575" s="975">
        <f t="shared" si="22"/>
        <v>0</v>
      </c>
    </row>
    <row r="576" spans="1:5" ht="27.75" customHeight="1" x14ac:dyDescent="0.25">
      <c r="A576" s="726" t="s">
        <v>205</v>
      </c>
      <c r="B576" s="725" t="s">
        <v>292</v>
      </c>
      <c r="C576" s="755">
        <v>119.9</v>
      </c>
      <c r="D576" s="976">
        <f t="shared" si="23"/>
        <v>39.966666666666669</v>
      </c>
      <c r="E576" s="975">
        <f t="shared" si="22"/>
        <v>119900</v>
      </c>
    </row>
    <row r="577" spans="1:5" ht="27.75" customHeight="1" x14ac:dyDescent="0.25">
      <c r="A577" s="726" t="s">
        <v>206</v>
      </c>
      <c r="B577" s="725" t="s">
        <v>292</v>
      </c>
      <c r="C577" s="755">
        <v>281.72000000000003</v>
      </c>
      <c r="D577" s="976">
        <f t="shared" si="23"/>
        <v>93.90666666666668</v>
      </c>
      <c r="E577" s="975">
        <f t="shared" si="22"/>
        <v>281720</v>
      </c>
    </row>
    <row r="578" spans="1:5" ht="39.75" customHeight="1" x14ac:dyDescent="0.25">
      <c r="A578" s="726" t="s">
        <v>207</v>
      </c>
      <c r="B578" s="725"/>
      <c r="C578" s="755"/>
      <c r="D578" s="976">
        <f t="shared" si="23"/>
        <v>0</v>
      </c>
      <c r="E578" s="975">
        <f t="shared" si="22"/>
        <v>0</v>
      </c>
    </row>
    <row r="579" spans="1:5" ht="27.75" customHeight="1" x14ac:dyDescent="0.25">
      <c r="A579" s="726" t="s">
        <v>208</v>
      </c>
      <c r="B579" s="725" t="s">
        <v>292</v>
      </c>
      <c r="C579" s="755">
        <v>197.11</v>
      </c>
      <c r="D579" s="976">
        <f t="shared" si="23"/>
        <v>65.703333333333333</v>
      </c>
      <c r="E579" s="975">
        <f t="shared" si="22"/>
        <v>197110</v>
      </c>
    </row>
    <row r="580" spans="1:5" ht="27.75" customHeight="1" x14ac:dyDescent="0.25">
      <c r="A580" s="726" t="s">
        <v>209</v>
      </c>
      <c r="B580" s="725" t="s">
        <v>292</v>
      </c>
      <c r="C580" s="755">
        <v>140.74</v>
      </c>
      <c r="D580" s="976">
        <f t="shared" si="23"/>
        <v>46.913333333333334</v>
      </c>
      <c r="E580" s="975">
        <f t="shared" si="22"/>
        <v>140740</v>
      </c>
    </row>
    <row r="581" spans="1:5" ht="27.75" customHeight="1" x14ac:dyDescent="0.25">
      <c r="A581" s="726" t="s">
        <v>210</v>
      </c>
      <c r="B581" s="725" t="s">
        <v>292</v>
      </c>
      <c r="C581" s="755">
        <v>1372.34</v>
      </c>
      <c r="D581" s="976">
        <f t="shared" si="23"/>
        <v>457.44666666666666</v>
      </c>
      <c r="E581" s="975">
        <f t="shared" si="22"/>
        <v>1372340</v>
      </c>
    </row>
    <row r="582" spans="1:5" ht="27.75" customHeight="1" x14ac:dyDescent="0.25">
      <c r="A582" s="726" t="s">
        <v>211</v>
      </c>
      <c r="B582" s="725" t="s">
        <v>292</v>
      </c>
      <c r="C582" s="755">
        <v>284.83999999999997</v>
      </c>
      <c r="D582" s="976">
        <f t="shared" si="23"/>
        <v>94.946666666666658</v>
      </c>
      <c r="E582" s="975">
        <f t="shared" si="22"/>
        <v>284840</v>
      </c>
    </row>
    <row r="583" spans="1:5" ht="27.75" customHeight="1" x14ac:dyDescent="0.25">
      <c r="A583" s="725" t="s">
        <v>212</v>
      </c>
      <c r="B583" s="725"/>
      <c r="C583" s="755"/>
      <c r="D583" s="976">
        <f t="shared" si="23"/>
        <v>0</v>
      </c>
      <c r="E583" s="975">
        <f t="shared" si="22"/>
        <v>0</v>
      </c>
    </row>
    <row r="584" spans="1:5" ht="27.75" customHeight="1" x14ac:dyDescent="0.25">
      <c r="A584" s="726" t="s">
        <v>213</v>
      </c>
      <c r="B584" s="725" t="s">
        <v>292</v>
      </c>
      <c r="C584" s="755">
        <v>2.2999999999999998</v>
      </c>
      <c r="D584" s="976">
        <f t="shared" si="23"/>
        <v>0.76666666666666661</v>
      </c>
      <c r="E584" s="975">
        <f t="shared" si="22"/>
        <v>2300</v>
      </c>
    </row>
    <row r="585" spans="1:5" ht="27.75" customHeight="1" x14ac:dyDescent="0.25">
      <c r="D585" s="976">
        <f t="shared" si="23"/>
        <v>0</v>
      </c>
    </row>
  </sheetData>
  <mergeCells count="7">
    <mergeCell ref="F1:I2"/>
    <mergeCell ref="A384:A385"/>
    <mergeCell ref="C384:C385"/>
    <mergeCell ref="A1:C1"/>
    <mergeCell ref="A2:A3"/>
    <mergeCell ref="B2:B3"/>
    <mergeCell ref="A253:C253"/>
  </mergeCells>
  <phoneticPr fontId="2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U37"/>
  <sheetViews>
    <sheetView showGridLines="0" showZeros="0" defaultGridColor="0" colorId="23" zoomScaleNormal="100" workbookViewId="0">
      <pane xSplit="3" ySplit="3" topLeftCell="D5" activePane="bottomRight" state="frozen"/>
      <selection pane="topRight" activeCell="C1" sqref="C1"/>
      <selection pane="bottomLeft" activeCell="A4" sqref="A4"/>
      <selection pane="bottomRight" activeCell="C9" sqref="C9"/>
    </sheetView>
  </sheetViews>
  <sheetFormatPr baseColWidth="10" defaultColWidth="11.42578125" defaultRowHeight="15" x14ac:dyDescent="0.2"/>
  <cols>
    <col min="1" max="1" width="25.7109375" style="996" customWidth="1"/>
    <col min="2" max="2" width="12.7109375" style="996" customWidth="1"/>
    <col min="3" max="3" width="10.85546875" style="1003" customWidth="1"/>
    <col min="4" max="4" width="12.7109375" style="996" customWidth="1"/>
    <col min="5" max="5" width="15.28515625" style="996" hidden="1" customWidth="1"/>
    <col min="6" max="6" width="11.7109375" style="996" customWidth="1"/>
    <col min="7" max="7" width="11.140625" style="996" customWidth="1"/>
    <col min="8" max="8" width="12.7109375" style="997" customWidth="1"/>
    <col min="9" max="9" width="11.5703125" style="997" customWidth="1"/>
    <col min="10" max="10" width="10.28515625" style="1003" customWidth="1"/>
    <col min="11" max="14" width="10.28515625" style="996" customWidth="1"/>
    <col min="15" max="15" width="12.85546875" style="996" customWidth="1"/>
    <col min="16" max="16" width="11.42578125" style="997" customWidth="1"/>
    <col min="17" max="18" width="11.42578125" style="997"/>
    <col min="19" max="20" width="11.42578125" style="996"/>
    <col min="21" max="21" width="11.42578125" style="997"/>
    <col min="22" max="16384" width="11.42578125" style="996"/>
  </cols>
  <sheetData>
    <row r="1" spans="1:21" ht="36.75" customHeight="1" thickBot="1" x14ac:dyDescent="0.25">
      <c r="A1" s="1741" t="s">
        <v>1468</v>
      </c>
      <c r="B1" s="1742"/>
      <c r="C1" s="1742"/>
      <c r="D1" s="1742"/>
      <c r="E1" s="1742"/>
      <c r="F1" s="1742"/>
      <c r="G1" s="1742"/>
      <c r="H1" s="1742"/>
      <c r="I1" s="1085" t="s">
        <v>1479</v>
      </c>
      <c r="J1" s="1047">
        <v>50</v>
      </c>
      <c r="K1" s="981"/>
      <c r="L1" s="981"/>
      <c r="M1" s="981"/>
      <c r="N1" s="981"/>
      <c r="O1" s="981"/>
      <c r="P1" s="981"/>
      <c r="Q1" s="981"/>
      <c r="R1" s="981"/>
      <c r="S1" s="981"/>
    </row>
    <row r="2" spans="1:21" s="1064" customFormat="1" ht="28.5" hidden="1" customHeight="1" thickBot="1" x14ac:dyDescent="0.3">
      <c r="A2" s="1075"/>
      <c r="B2" s="1076"/>
      <c r="C2" s="1076"/>
      <c r="D2" s="1761"/>
      <c r="E2" s="1761"/>
      <c r="F2" s="1762"/>
      <c r="G2" s="1099"/>
      <c r="H2" s="1076"/>
      <c r="I2" s="1077"/>
      <c r="J2" s="1067"/>
      <c r="K2" s="1063"/>
      <c r="L2" s="1063"/>
      <c r="M2" s="1063"/>
      <c r="N2" s="1063"/>
      <c r="O2" s="1063"/>
      <c r="P2" s="1063"/>
      <c r="Q2" s="1063"/>
      <c r="R2" s="1063"/>
      <c r="S2" s="1063"/>
      <c r="U2" s="1065"/>
    </row>
    <row r="3" spans="1:21" s="1004" customFormat="1" ht="42" customHeight="1" thickBot="1" x14ac:dyDescent="0.25">
      <c r="A3" s="1103" t="s">
        <v>1483</v>
      </c>
      <c r="B3" s="1104" t="s">
        <v>1478</v>
      </c>
      <c r="C3" s="1104" t="s">
        <v>1469</v>
      </c>
      <c r="D3" s="1104" t="s">
        <v>1480</v>
      </c>
      <c r="E3" s="1104" t="s">
        <v>1478</v>
      </c>
      <c r="F3" s="1088" t="s">
        <v>1487</v>
      </c>
      <c r="G3" s="1088" t="s">
        <v>1490</v>
      </c>
      <c r="H3" s="1105" t="s">
        <v>1484</v>
      </c>
      <c r="I3" s="1106" t="s">
        <v>1488</v>
      </c>
      <c r="J3" s="1062"/>
      <c r="K3" s="999"/>
      <c r="L3" s="999"/>
      <c r="M3" s="999"/>
      <c r="N3" s="999"/>
      <c r="O3" s="1041" t="s">
        <v>1481</v>
      </c>
      <c r="P3" s="1041" t="s">
        <v>1482</v>
      </c>
      <c r="Q3" s="998"/>
      <c r="R3" s="998"/>
      <c r="S3" s="998"/>
      <c r="T3" s="998"/>
      <c r="U3" s="848"/>
    </row>
    <row r="4" spans="1:21" ht="20.25" hidden="1" customHeight="1" x14ac:dyDescent="0.2">
      <c r="A4" s="1089"/>
      <c r="B4" s="1086"/>
      <c r="C4" s="1086"/>
      <c r="D4" s="1086"/>
      <c r="E4" s="1086"/>
      <c r="F4" s="1086"/>
      <c r="G4" s="1086"/>
      <c r="H4" s="1086"/>
      <c r="I4" s="1090"/>
      <c r="K4" s="999"/>
      <c r="L4" s="999"/>
      <c r="M4" s="999"/>
      <c r="N4" s="999"/>
      <c r="O4" s="1042"/>
      <c r="P4" s="1043"/>
      <c r="Q4" s="998"/>
      <c r="R4" s="998"/>
      <c r="S4" s="998"/>
      <c r="T4" s="998"/>
    </row>
    <row r="5" spans="1:21" ht="17.25" customHeight="1" x14ac:dyDescent="0.2">
      <c r="A5" s="1052" t="s">
        <v>297</v>
      </c>
      <c r="B5" s="1049">
        <f>'FICHA DE COSTO'!D289</f>
        <v>199832.74063999997</v>
      </c>
      <c r="C5" s="1079">
        <v>16</v>
      </c>
      <c r="D5" s="1049">
        <f>B5/C5</f>
        <v>12489.546289999998</v>
      </c>
      <c r="E5" s="1049">
        <f t="shared" ref="E5:E11" si="0">(H5*21.74)*F5</f>
        <v>749372.7773999999</v>
      </c>
      <c r="F5" s="1049">
        <f>D5/21.74</f>
        <v>574.49614949402019</v>
      </c>
      <c r="G5" s="1049"/>
      <c r="H5" s="1049">
        <v>60</v>
      </c>
      <c r="I5" s="1100">
        <f>G5-H5</f>
        <v>-60</v>
      </c>
      <c r="K5" s="997"/>
      <c r="L5" s="1001"/>
      <c r="M5" s="1001"/>
      <c r="N5" s="1001"/>
      <c r="O5" s="1038">
        <f>SALARIOS!F104</f>
        <v>72000</v>
      </c>
      <c r="P5" s="1039">
        <v>5454.5</v>
      </c>
      <c r="S5" s="997"/>
      <c r="T5" s="997"/>
    </row>
    <row r="6" spans="1:21" ht="17.25" customHeight="1" x14ac:dyDescent="0.2">
      <c r="A6" s="1052" t="s">
        <v>316</v>
      </c>
      <c r="B6" s="1049">
        <f>'FICHA DE COSTO'!D121</f>
        <v>205890.88784000004</v>
      </c>
      <c r="C6" s="1079">
        <v>16</v>
      </c>
      <c r="D6" s="1049">
        <f t="shared" ref="D6:D11" si="1">B6/C6</f>
        <v>12868.180490000002</v>
      </c>
      <c r="E6" s="1049">
        <f t="shared" si="0"/>
        <v>772090.82940000016</v>
      </c>
      <c r="F6" s="1049">
        <f t="shared" ref="F6:F11" si="2">D6/21.74</f>
        <v>591.91262603495875</v>
      </c>
      <c r="G6" s="1049"/>
      <c r="H6" s="1049">
        <v>60</v>
      </c>
      <c r="I6" s="1100">
        <f t="shared" ref="I6:I30" si="3">G6-H6</f>
        <v>-60</v>
      </c>
      <c r="K6" s="997"/>
      <c r="L6" s="1001"/>
      <c r="M6" s="1001"/>
      <c r="N6" s="1001"/>
      <c r="O6" s="1040">
        <f>SALARIOS!F41</f>
        <v>92000</v>
      </c>
      <c r="P6" s="1039">
        <v>5999.95</v>
      </c>
      <c r="S6" s="997"/>
      <c r="T6" s="997"/>
    </row>
    <row r="7" spans="1:21" ht="17.25" customHeight="1" x14ac:dyDescent="0.25">
      <c r="A7" s="1052" t="s">
        <v>1470</v>
      </c>
      <c r="B7" s="1049">
        <f>'FICHA DE COSTO'!D37</f>
        <v>219793.40291999999</v>
      </c>
      <c r="C7" s="1079">
        <v>14</v>
      </c>
      <c r="D7" s="1049">
        <f t="shared" si="1"/>
        <v>15699.528779999999</v>
      </c>
      <c r="E7" s="1049">
        <f t="shared" si="0"/>
        <v>2040938.7413999999</v>
      </c>
      <c r="F7" s="1049">
        <f t="shared" si="2"/>
        <v>722.1494379024839</v>
      </c>
      <c r="G7" s="1049" t="e">
        <f>'Datos 2'!#REF!</f>
        <v>#REF!</v>
      </c>
      <c r="H7" s="1049">
        <v>130</v>
      </c>
      <c r="I7" s="1100" t="e">
        <f t="shared" si="3"/>
        <v>#REF!</v>
      </c>
      <c r="K7" s="997"/>
      <c r="L7" s="1001"/>
      <c r="M7" s="1001"/>
      <c r="N7" s="1001"/>
      <c r="O7" s="1051">
        <f>SALARIOS!F11</f>
        <v>96000</v>
      </c>
      <c r="P7" s="1039">
        <v>12892.69</v>
      </c>
      <c r="S7" s="997"/>
      <c r="T7" s="997"/>
    </row>
    <row r="8" spans="1:21" ht="17.25" customHeight="1" x14ac:dyDescent="0.25">
      <c r="A8" s="1052" t="s">
        <v>1463</v>
      </c>
      <c r="B8" s="1049">
        <f>'FICHA DE COSTO'!D79</f>
        <v>234558.87424</v>
      </c>
      <c r="C8" s="1079">
        <v>10</v>
      </c>
      <c r="D8" s="1049">
        <f t="shared" si="1"/>
        <v>23455.887424</v>
      </c>
      <c r="E8" s="1049">
        <f t="shared" si="0"/>
        <v>5863971.8560000006</v>
      </c>
      <c r="F8" s="1049">
        <f t="shared" si="2"/>
        <v>1078.9276643974242</v>
      </c>
      <c r="G8" s="1049" t="e">
        <f>'Datos 2'!#REF!</f>
        <v>#REF!</v>
      </c>
      <c r="H8" s="1049">
        <v>250</v>
      </c>
      <c r="I8" s="1100" t="e">
        <f t="shared" si="3"/>
        <v>#REF!</v>
      </c>
      <c r="K8" s="997"/>
      <c r="L8" s="1001"/>
      <c r="M8" s="1001"/>
      <c r="N8" s="1001"/>
      <c r="O8" s="1051">
        <f>SALARIOS!F26</f>
        <v>112000</v>
      </c>
      <c r="P8" s="1039">
        <v>27898.22</v>
      </c>
      <c r="S8" s="997"/>
      <c r="T8" s="997"/>
    </row>
    <row r="9" spans="1:21" ht="17.25" customHeight="1" x14ac:dyDescent="0.2">
      <c r="A9" s="1052" t="s">
        <v>317</v>
      </c>
      <c r="B9" s="1049">
        <f>'FICHA DE COSTO'!D247</f>
        <v>160277.92843999999</v>
      </c>
      <c r="C9" s="1079">
        <v>17</v>
      </c>
      <c r="D9" s="1049">
        <f t="shared" si="1"/>
        <v>9428.1134376470582</v>
      </c>
      <c r="E9" s="1049">
        <f t="shared" si="0"/>
        <v>754249.07501176465</v>
      </c>
      <c r="F9" s="1049">
        <f t="shared" si="2"/>
        <v>433.67587109692084</v>
      </c>
      <c r="G9" s="1049" t="e">
        <f>'Datos 2'!#REF!</f>
        <v>#REF!</v>
      </c>
      <c r="H9" s="1049">
        <v>80</v>
      </c>
      <c r="I9" s="1100" t="e">
        <f t="shared" si="3"/>
        <v>#REF!</v>
      </c>
      <c r="K9" s="997"/>
      <c r="L9" s="1001"/>
      <c r="M9" s="1001"/>
      <c r="N9" s="1001"/>
      <c r="O9" s="1040">
        <f>SALARIOS!F89</f>
        <v>72000</v>
      </c>
      <c r="P9" s="1039">
        <v>13418.07</v>
      </c>
      <c r="S9" s="997"/>
      <c r="T9" s="997"/>
    </row>
    <row r="10" spans="1:21" ht="17.25" customHeight="1" x14ac:dyDescent="0.25">
      <c r="A10" s="1052" t="s">
        <v>1471</v>
      </c>
      <c r="B10" s="1049">
        <f>'FICHA DE COSTO'!D163</f>
        <v>288203.19889600005</v>
      </c>
      <c r="C10" s="1079">
        <v>18</v>
      </c>
      <c r="D10" s="1049">
        <f t="shared" si="1"/>
        <v>16011.288827555558</v>
      </c>
      <c r="E10" s="1049">
        <f t="shared" si="0"/>
        <v>2401693.3241333333</v>
      </c>
      <c r="F10" s="1049">
        <f t="shared" si="2"/>
        <v>736.48982647449668</v>
      </c>
      <c r="G10" s="1049" t="e">
        <f>'Datos 2'!#REF!</f>
        <v>#REF!</v>
      </c>
      <c r="H10" s="1049">
        <v>150</v>
      </c>
      <c r="I10" s="1100" t="e">
        <f t="shared" si="3"/>
        <v>#REF!</v>
      </c>
      <c r="K10" s="997"/>
      <c r="L10" s="1001"/>
      <c r="M10" s="1001"/>
      <c r="N10" s="1001"/>
      <c r="O10" s="1051">
        <f>SALARIOS!F57</f>
        <v>124800</v>
      </c>
      <c r="P10" s="1039">
        <v>22516.18</v>
      </c>
      <c r="S10" s="997"/>
      <c r="T10" s="997"/>
    </row>
    <row r="11" spans="1:21" ht="17.25" customHeight="1" thickBot="1" x14ac:dyDescent="0.25">
      <c r="A11" s="1054" t="s">
        <v>464</v>
      </c>
      <c r="B11" s="1055">
        <f>'FICHA DE COSTO'!D205</f>
        <v>241916.74529600001</v>
      </c>
      <c r="C11" s="1094">
        <v>20</v>
      </c>
      <c r="D11" s="1055">
        <f t="shared" si="1"/>
        <v>12095.8372648</v>
      </c>
      <c r="E11" s="1055">
        <f t="shared" si="0"/>
        <v>725750.23588800011</v>
      </c>
      <c r="F11" s="1055">
        <f t="shared" si="2"/>
        <v>556.38625873045089</v>
      </c>
      <c r="G11" s="1055" t="e">
        <f>'Datos 2'!#REF!</f>
        <v>#REF!</v>
      </c>
      <c r="H11" s="1055">
        <v>60</v>
      </c>
      <c r="I11" s="1101" t="e">
        <f t="shared" si="3"/>
        <v>#REF!</v>
      </c>
      <c r="K11" s="997"/>
      <c r="L11" s="1001"/>
      <c r="M11" s="1001"/>
      <c r="N11" s="1001"/>
      <c r="O11" s="1038">
        <f>SALARIOS!F73</f>
        <v>124800</v>
      </c>
      <c r="P11" s="1039">
        <v>7199.94</v>
      </c>
      <c r="S11" s="997"/>
      <c r="T11" s="997"/>
    </row>
    <row r="12" spans="1:21" ht="17.25" hidden="1" customHeight="1" x14ac:dyDescent="0.2">
      <c r="A12" s="1068"/>
      <c r="B12" s="1069"/>
      <c r="C12" s="1070"/>
      <c r="D12" s="1069"/>
      <c r="E12" s="1069"/>
      <c r="F12" s="1070"/>
      <c r="G12" s="1071"/>
      <c r="H12" s="1072"/>
      <c r="I12" s="997">
        <f t="shared" si="3"/>
        <v>0</v>
      </c>
      <c r="J12" s="1000"/>
      <c r="K12" s="997"/>
      <c r="L12" s="1001"/>
      <c r="M12" s="1001"/>
      <c r="N12" s="1001"/>
      <c r="O12" s="1002"/>
      <c r="S12" s="997"/>
      <c r="T12" s="997"/>
    </row>
    <row r="13" spans="1:21" ht="17.25" hidden="1" customHeight="1" x14ac:dyDescent="0.2">
      <c r="A13" s="1052"/>
      <c r="B13" s="1049"/>
      <c r="C13" s="1050"/>
      <c r="D13" s="1049"/>
      <c r="E13" s="1049"/>
      <c r="F13" s="1050"/>
      <c r="G13" s="1058"/>
      <c r="H13" s="1053"/>
      <c r="I13" s="997">
        <f t="shared" si="3"/>
        <v>0</v>
      </c>
      <c r="J13" s="1000"/>
    </row>
    <row r="14" spans="1:21" ht="17.25" hidden="1" customHeight="1" x14ac:dyDescent="0.2">
      <c r="A14" s="1052"/>
      <c r="B14" s="1049"/>
      <c r="C14" s="1050"/>
      <c r="D14" s="1049"/>
      <c r="E14" s="1049"/>
      <c r="F14" s="1050"/>
      <c r="G14" s="1058"/>
      <c r="H14" s="1053"/>
      <c r="I14" s="997">
        <f t="shared" si="3"/>
        <v>0</v>
      </c>
      <c r="J14" s="1000"/>
    </row>
    <row r="15" spans="1:21" ht="17.25" hidden="1" customHeight="1" x14ac:dyDescent="0.2">
      <c r="A15" s="1052"/>
      <c r="B15" s="1049"/>
      <c r="C15" s="1050"/>
      <c r="D15" s="1049"/>
      <c r="E15" s="1049"/>
      <c r="F15" s="1050"/>
      <c r="G15" s="1058"/>
      <c r="H15" s="1053"/>
      <c r="I15" s="997">
        <f t="shared" si="3"/>
        <v>0</v>
      </c>
      <c r="J15" s="1000"/>
    </row>
    <row r="16" spans="1:21" ht="17.25" hidden="1" customHeight="1" x14ac:dyDescent="0.2">
      <c r="A16" s="1052"/>
      <c r="B16" s="1049"/>
      <c r="C16" s="1050"/>
      <c r="D16" s="1049"/>
      <c r="E16" s="1049"/>
      <c r="F16" s="1050"/>
      <c r="G16" s="1058"/>
      <c r="H16" s="1053"/>
      <c r="I16" s="997">
        <f t="shared" si="3"/>
        <v>0</v>
      </c>
      <c r="J16" s="1000"/>
    </row>
    <row r="17" spans="1:19" ht="17.25" hidden="1" customHeight="1" x14ac:dyDescent="0.2">
      <c r="A17" s="1052"/>
      <c r="B17" s="1049"/>
      <c r="C17" s="1050"/>
      <c r="D17" s="1049"/>
      <c r="E17" s="1049"/>
      <c r="F17" s="1050"/>
      <c r="G17" s="1058"/>
      <c r="H17" s="1053"/>
      <c r="I17" s="997">
        <f t="shared" si="3"/>
        <v>0</v>
      </c>
      <c r="J17" s="1000"/>
    </row>
    <row r="18" spans="1:19" ht="17.25" hidden="1" customHeight="1" x14ac:dyDescent="0.2">
      <c r="A18" s="1052"/>
      <c r="B18" s="1049"/>
      <c r="C18" s="1050"/>
      <c r="D18" s="1049"/>
      <c r="E18" s="1049"/>
      <c r="F18" s="1050"/>
      <c r="G18" s="1058"/>
      <c r="H18" s="1053"/>
      <c r="I18" s="997">
        <f t="shared" si="3"/>
        <v>0</v>
      </c>
      <c r="J18" s="1000"/>
      <c r="K18" s="1004"/>
      <c r="L18" s="1004"/>
      <c r="M18" s="1004"/>
      <c r="N18" s="1004"/>
      <c r="O18" s="1004"/>
      <c r="P18" s="848"/>
      <c r="Q18" s="848"/>
      <c r="R18" s="848"/>
      <c r="S18" s="1005"/>
    </row>
    <row r="19" spans="1:19" ht="17.25" hidden="1" customHeight="1" x14ac:dyDescent="0.2">
      <c r="A19" s="1052"/>
      <c r="B19" s="1049"/>
      <c r="C19" s="1050"/>
      <c r="D19" s="1049"/>
      <c r="E19" s="1049"/>
      <c r="F19" s="1050"/>
      <c r="G19" s="1058"/>
      <c r="H19" s="1053"/>
      <c r="I19" s="997">
        <f t="shared" si="3"/>
        <v>0</v>
      </c>
      <c r="J19" s="1000"/>
      <c r="S19" s="997"/>
    </row>
    <row r="20" spans="1:19" ht="17.25" hidden="1" customHeight="1" x14ac:dyDescent="0.2">
      <c r="A20" s="1052"/>
      <c r="B20" s="1049"/>
      <c r="C20" s="1050"/>
      <c r="D20" s="1049"/>
      <c r="E20" s="1049"/>
      <c r="F20" s="1050"/>
      <c r="G20" s="1058"/>
      <c r="H20" s="1053"/>
      <c r="I20" s="997">
        <f t="shared" si="3"/>
        <v>0</v>
      </c>
      <c r="J20" s="1000"/>
      <c r="S20" s="997"/>
    </row>
    <row r="21" spans="1:19" ht="17.25" hidden="1" customHeight="1" x14ac:dyDescent="0.2">
      <c r="A21" s="1052"/>
      <c r="B21" s="1049"/>
      <c r="C21" s="1050"/>
      <c r="D21" s="1049"/>
      <c r="E21" s="1049"/>
      <c r="F21" s="1050"/>
      <c r="G21" s="1058"/>
      <c r="H21" s="1053"/>
      <c r="I21" s="997">
        <f t="shared" si="3"/>
        <v>0</v>
      </c>
      <c r="J21" s="1000"/>
      <c r="S21" s="997"/>
    </row>
    <row r="22" spans="1:19" ht="17.25" hidden="1" customHeight="1" thickBot="1" x14ac:dyDescent="0.25">
      <c r="A22" s="1054"/>
      <c r="B22" s="1055"/>
      <c r="C22" s="1056"/>
      <c r="D22" s="1055"/>
      <c r="E22" s="1055"/>
      <c r="F22" s="1056"/>
      <c r="G22" s="1059"/>
      <c r="H22" s="1057"/>
      <c r="I22" s="997">
        <f t="shared" si="3"/>
        <v>0</v>
      </c>
      <c r="J22" s="1000"/>
      <c r="S22" s="997"/>
    </row>
    <row r="23" spans="1:19" ht="17.25" hidden="1" customHeight="1" x14ac:dyDescent="0.2">
      <c r="C23" s="1006"/>
      <c r="F23" s="997"/>
      <c r="G23" s="997"/>
      <c r="I23" s="997">
        <f t="shared" si="3"/>
        <v>0</v>
      </c>
      <c r="J23" s="1000"/>
      <c r="S23" s="997"/>
    </row>
    <row r="24" spans="1:19" ht="17.25" hidden="1" customHeight="1" x14ac:dyDescent="0.2">
      <c r="C24" s="1007"/>
      <c r="F24" s="997"/>
      <c r="G24" s="997"/>
      <c r="I24" s="997">
        <f t="shared" si="3"/>
        <v>0</v>
      </c>
      <c r="S24" s="997"/>
    </row>
    <row r="25" spans="1:19" ht="17.25" hidden="1" customHeight="1" x14ac:dyDescent="0.2">
      <c r="C25" s="1007"/>
      <c r="F25" s="997"/>
      <c r="G25" s="997"/>
      <c r="I25" s="997">
        <f t="shared" si="3"/>
        <v>0</v>
      </c>
      <c r="S25" s="997"/>
    </row>
    <row r="26" spans="1:19" ht="17.25" hidden="1" customHeight="1" x14ac:dyDescent="0.2">
      <c r="C26" s="1008"/>
      <c r="F26" s="997"/>
      <c r="G26" s="997"/>
      <c r="I26" s="997">
        <f t="shared" si="3"/>
        <v>0</v>
      </c>
      <c r="S26" s="997"/>
    </row>
    <row r="27" spans="1:19" ht="17.25" hidden="1" customHeight="1" x14ac:dyDescent="0.2">
      <c r="I27" s="997">
        <f t="shared" si="3"/>
        <v>0</v>
      </c>
    </row>
    <row r="28" spans="1:19" ht="17.25" hidden="1" customHeight="1" x14ac:dyDescent="0.2">
      <c r="I28" s="997">
        <f t="shared" si="3"/>
        <v>0</v>
      </c>
    </row>
    <row r="29" spans="1:19" ht="17.25" hidden="1" customHeight="1" x14ac:dyDescent="0.2">
      <c r="I29" s="997">
        <f t="shared" si="3"/>
        <v>0</v>
      </c>
    </row>
    <row r="30" spans="1:19" ht="17.25" hidden="1" customHeight="1" x14ac:dyDescent="0.2">
      <c r="I30" s="997">
        <f t="shared" si="3"/>
        <v>0</v>
      </c>
    </row>
    <row r="31" spans="1:19" ht="17.25" customHeight="1" x14ac:dyDescent="0.2"/>
    <row r="32" spans="1:19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  <row r="37" ht="17.25" customHeight="1" x14ac:dyDescent="0.2"/>
  </sheetData>
  <mergeCells count="2">
    <mergeCell ref="A1:H1"/>
    <mergeCell ref="D2:F2"/>
  </mergeCells>
  <phoneticPr fontId="0" type="noConversion"/>
  <conditionalFormatting sqref="A1:XFD1048576">
    <cfRule type="cellIs" dxfId="0" priority="1" stopIfTrue="1" operator="lessThan">
      <formula>0</formula>
    </cfRule>
  </conditionalFormatting>
  <pageMargins left="0.78740157480314965" right="0.19685039370078741" top="0.98425196850393704" bottom="0.39370078740157483" header="0" footer="0"/>
  <pageSetup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workbookViewId="0">
      <selection activeCell="B2" sqref="B2"/>
    </sheetView>
  </sheetViews>
  <sheetFormatPr baseColWidth="10" defaultColWidth="10.85546875" defaultRowHeight="12.75" x14ac:dyDescent="0.2"/>
  <cols>
    <col min="1" max="16384" width="10.85546875" style="1198"/>
  </cols>
  <sheetData>
    <row r="2" spans="1:2" x14ac:dyDescent="0.2">
      <c r="A2" s="1198">
        <v>90</v>
      </c>
      <c r="B2" s="1199">
        <f>A2/A3</f>
        <v>4.1398344066237351</v>
      </c>
    </row>
    <row r="3" spans="1:2" x14ac:dyDescent="0.2">
      <c r="A3" s="1198">
        <v>21.74</v>
      </c>
      <c r="B3" s="1198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36"/>
  <sheetViews>
    <sheetView showGridLines="0" zoomScale="75" zoomScaleNormal="75" workbookViewId="0">
      <pane xSplit="1" ySplit="5" topLeftCell="F13" activePane="bottomRight" state="frozen"/>
      <selection pane="topRight" activeCell="B1" sqref="B1"/>
      <selection pane="bottomLeft" activeCell="A12" sqref="A12"/>
      <selection pane="bottomRight" activeCell="R37" sqref="R37"/>
    </sheetView>
  </sheetViews>
  <sheetFormatPr baseColWidth="10" defaultColWidth="10.85546875" defaultRowHeight="15" x14ac:dyDescent="0.2"/>
  <cols>
    <col min="1" max="1" width="30.28515625" style="1266" customWidth="1"/>
    <col min="2" max="2" width="13.7109375" style="1266" hidden="1" customWidth="1"/>
    <col min="3" max="3" width="13.28515625" style="1266" hidden="1" customWidth="1"/>
    <col min="4" max="4" width="10.85546875" style="1266" hidden="1" customWidth="1"/>
    <col min="5" max="5" width="9.28515625" style="1266" hidden="1" customWidth="1"/>
    <col min="6" max="6" width="12.7109375" style="1266" customWidth="1"/>
    <col min="7" max="7" width="12.7109375" style="1266" hidden="1" customWidth="1"/>
    <col min="8" max="8" width="12.7109375" style="1266" customWidth="1"/>
    <col min="9" max="9" width="12.28515625" style="1266" customWidth="1"/>
    <col min="10" max="10" width="16.5703125" style="1266" hidden="1" customWidth="1"/>
    <col min="11" max="11" width="12.7109375" style="1266" hidden="1" customWidth="1"/>
    <col min="12" max="12" width="14.28515625" style="1266" hidden="1" customWidth="1"/>
    <col min="13" max="13" width="11.28515625" style="1266" hidden="1" customWidth="1"/>
    <col min="14" max="16384" width="10.85546875" style="1256"/>
  </cols>
  <sheetData>
    <row r="2" spans="1:15" ht="15.75" thickBot="1" x14ac:dyDescent="0.25">
      <c r="A2" s="1773" t="s">
        <v>1891</v>
      </c>
      <c r="B2" s="1774"/>
      <c r="C2" s="1774"/>
      <c r="D2" s="1774"/>
      <c r="E2" s="1774"/>
      <c r="F2" s="1774"/>
      <c r="G2" s="1774"/>
      <c r="H2" s="1774"/>
      <c r="I2" s="1774"/>
      <c r="J2" s="1774"/>
      <c r="K2" s="1774"/>
      <c r="L2" s="1774"/>
      <c r="M2" s="1774"/>
    </row>
    <row r="3" spans="1:15" ht="15.75" customHeight="1" thickBot="1" x14ac:dyDescent="0.25">
      <c r="A3" s="1257">
        <f ca="1">TODAY()</f>
        <v>45398</v>
      </c>
      <c r="B3" s="1775" t="s">
        <v>1478</v>
      </c>
      <c r="C3" s="1778" t="s">
        <v>277</v>
      </c>
      <c r="D3" s="1775" t="s">
        <v>18</v>
      </c>
      <c r="E3" s="1775" t="s">
        <v>988</v>
      </c>
      <c r="F3" s="1765" t="s">
        <v>1881</v>
      </c>
      <c r="G3" s="1765" t="s">
        <v>1885</v>
      </c>
      <c r="H3" s="1765" t="s">
        <v>1885</v>
      </c>
      <c r="I3" s="1765" t="s">
        <v>1882</v>
      </c>
      <c r="J3" s="1765" t="s">
        <v>1882</v>
      </c>
      <c r="K3" s="1765" t="s">
        <v>1883</v>
      </c>
      <c r="L3" s="1258"/>
      <c r="M3" s="1259"/>
      <c r="N3" s="1765" t="s">
        <v>1883</v>
      </c>
      <c r="O3" s="1765" t="s">
        <v>1488</v>
      </c>
    </row>
    <row r="4" spans="1:15" ht="15" customHeight="1" x14ac:dyDescent="0.2">
      <c r="A4" s="1780" t="s">
        <v>926</v>
      </c>
      <c r="B4" s="1776"/>
      <c r="C4" s="1779"/>
      <c r="D4" s="1776"/>
      <c r="E4" s="1776"/>
      <c r="F4" s="1766"/>
      <c r="G4" s="1766"/>
      <c r="H4" s="1766"/>
      <c r="I4" s="1766"/>
      <c r="J4" s="1766"/>
      <c r="K4" s="1766"/>
      <c r="L4" s="1771" t="s">
        <v>1497</v>
      </c>
      <c r="M4" s="1769" t="s">
        <v>1498</v>
      </c>
      <c r="N4" s="1766"/>
      <c r="O4" s="1766"/>
    </row>
    <row r="5" spans="1:15" ht="30.4" customHeight="1" thickBot="1" x14ac:dyDescent="0.25">
      <c r="A5" s="1781"/>
      <c r="B5" s="1777"/>
      <c r="C5" s="1779"/>
      <c r="D5" s="1777"/>
      <c r="E5" s="1777"/>
      <c r="F5" s="1766"/>
      <c r="G5" s="1766"/>
      <c r="H5" s="1766"/>
      <c r="I5" s="1766"/>
      <c r="J5" s="1766"/>
      <c r="K5" s="1766"/>
      <c r="L5" s="1770"/>
      <c r="M5" s="1770"/>
      <c r="N5" s="1766"/>
      <c r="O5" s="1766"/>
    </row>
    <row r="6" spans="1:15" s="1272" customFormat="1" ht="21" customHeight="1" x14ac:dyDescent="0.2">
      <c r="A6" s="1281">
        <v>1</v>
      </c>
      <c r="B6" s="1282">
        <v>2</v>
      </c>
      <c r="C6" s="1282">
        <v>3</v>
      </c>
      <c r="D6" s="1282" t="s">
        <v>1886</v>
      </c>
      <c r="E6" s="1287" t="s">
        <v>1887</v>
      </c>
      <c r="F6" s="1282">
        <v>6</v>
      </c>
      <c r="G6" s="1302" t="s">
        <v>1890</v>
      </c>
      <c r="H6" s="1302"/>
      <c r="I6" s="1282" t="s">
        <v>1888</v>
      </c>
      <c r="J6" s="1282">
        <v>8</v>
      </c>
      <c r="K6" s="1283" t="s">
        <v>1889</v>
      </c>
      <c r="L6" s="1282">
        <v>10</v>
      </c>
      <c r="M6" s="1282">
        <v>11</v>
      </c>
      <c r="N6" s="1300" t="s">
        <v>1889</v>
      </c>
      <c r="O6" s="1303"/>
    </row>
    <row r="7" spans="1:15" s="1272" customFormat="1" ht="21" customHeight="1" x14ac:dyDescent="0.2">
      <c r="A7" s="1763" t="s">
        <v>1894</v>
      </c>
      <c r="B7" s="1764"/>
      <c r="C7" s="1764"/>
      <c r="D7" s="1764"/>
      <c r="E7" s="1764"/>
      <c r="F7" s="1764"/>
      <c r="G7" s="1764"/>
      <c r="H7" s="1764"/>
      <c r="I7" s="1764"/>
      <c r="J7" s="1764"/>
      <c r="K7" s="1764"/>
      <c r="L7" s="1264"/>
      <c r="M7" s="1264"/>
      <c r="N7" s="1301"/>
      <c r="O7" s="1304"/>
    </row>
    <row r="8" spans="1:15" ht="18" customHeight="1" x14ac:dyDescent="0.2">
      <c r="A8" s="1268" t="s">
        <v>321</v>
      </c>
      <c r="B8" s="1260">
        <f>'FICHA DE COSTO'!D37</f>
        <v>219793.40291999999</v>
      </c>
      <c r="C8" s="1261">
        <v>14</v>
      </c>
      <c r="D8" s="1260">
        <f>B8/C8</f>
        <v>15699.528779999999</v>
      </c>
      <c r="E8" s="1260">
        <f>D8/21.74</f>
        <v>722.1494379024839</v>
      </c>
      <c r="F8" s="1260">
        <v>5536</v>
      </c>
      <c r="G8" s="1297">
        <f>F8/21.74</f>
        <v>254.64581416743331</v>
      </c>
      <c r="H8" s="1297">
        <f>ROUNDUP(G8,0)</f>
        <v>255</v>
      </c>
      <c r="I8" s="1262">
        <f>D8*1.2</f>
        <v>18839.434535999997</v>
      </c>
      <c r="J8" s="1260"/>
      <c r="K8" s="1274">
        <f>I8/21.74</f>
        <v>866.57932548298061</v>
      </c>
      <c r="L8" s="1260"/>
      <c r="M8" s="1260" t="e">
        <f>#REF!/#REF!</f>
        <v>#REF!</v>
      </c>
      <c r="N8" s="1297">
        <v>300</v>
      </c>
      <c r="O8" s="1269">
        <f t="shared" ref="O8:O14" si="0">N8-H8</f>
        <v>45</v>
      </c>
    </row>
    <row r="9" spans="1:15" s="1265" customFormat="1" ht="17.649999999999999" customHeight="1" x14ac:dyDescent="0.2">
      <c r="A9" s="1270" t="s">
        <v>24</v>
      </c>
      <c r="B9" s="1263">
        <f>'FICHA DE COSTO'!D79</f>
        <v>234558.87424</v>
      </c>
      <c r="C9" s="1264">
        <v>12</v>
      </c>
      <c r="D9" s="1260">
        <f t="shared" ref="D9:D16" si="1">B9/C9</f>
        <v>19546.572853333335</v>
      </c>
      <c r="E9" s="1260">
        <f t="shared" ref="E9:E16" si="2">D9/21.74</f>
        <v>899.10638699785352</v>
      </c>
      <c r="F9" s="1263">
        <v>10185</v>
      </c>
      <c r="G9" s="1297">
        <f t="shared" ref="G9:G16" si="3">F9/21.74</f>
        <v>468.49126034958607</v>
      </c>
      <c r="H9" s="1297">
        <f t="shared" ref="H9:H16" si="4">ROUNDUP(G9,0)</f>
        <v>469</v>
      </c>
      <c r="I9" s="1262">
        <f t="shared" ref="I9:I16" si="5">D9*1.2</f>
        <v>23455.887424</v>
      </c>
      <c r="J9" s="1263"/>
      <c r="K9" s="1274">
        <f t="shared" ref="K9:K16" si="6">I9/21.74</f>
        <v>1078.9276643974242</v>
      </c>
      <c r="L9" s="1263"/>
      <c r="M9" s="1263" t="e">
        <f>#REF!/#REF!</f>
        <v>#REF!</v>
      </c>
      <c r="N9" s="1297">
        <v>500</v>
      </c>
      <c r="O9" s="1269">
        <f t="shared" si="0"/>
        <v>31</v>
      </c>
    </row>
    <row r="10" spans="1:15" s="1265" customFormat="1" ht="17.649999999999999" customHeight="1" x14ac:dyDescent="0.2">
      <c r="A10" s="1270" t="s">
        <v>316</v>
      </c>
      <c r="B10" s="1276">
        <f>'FICHA DE COSTO'!D121</f>
        <v>205890.88784000004</v>
      </c>
      <c r="C10" s="1278">
        <v>12</v>
      </c>
      <c r="D10" s="1260">
        <f t="shared" si="1"/>
        <v>17157.57398666667</v>
      </c>
      <c r="E10" s="1260">
        <f t="shared" si="2"/>
        <v>789.21683471327833</v>
      </c>
      <c r="F10" s="1263">
        <f>150*21.74</f>
        <v>3260.9999999999995</v>
      </c>
      <c r="G10" s="1297">
        <f t="shared" si="3"/>
        <v>150</v>
      </c>
      <c r="H10" s="1297">
        <f t="shared" si="4"/>
        <v>150</v>
      </c>
      <c r="I10" s="1262">
        <f t="shared" si="5"/>
        <v>20589.088784000003</v>
      </c>
      <c r="J10" s="1263"/>
      <c r="K10" s="1274">
        <f t="shared" si="6"/>
        <v>947.06020165593395</v>
      </c>
      <c r="L10" s="1263"/>
      <c r="M10" s="1263" t="e">
        <f>#REF!/#REF!</f>
        <v>#REF!</v>
      </c>
      <c r="N10" s="1297">
        <v>200</v>
      </c>
      <c r="O10" s="1269">
        <f t="shared" si="0"/>
        <v>50</v>
      </c>
    </row>
    <row r="11" spans="1:15" s="1265" customFormat="1" x14ac:dyDescent="0.2">
      <c r="A11" s="1270" t="s">
        <v>631</v>
      </c>
      <c r="B11" s="1276">
        <f>'FICHA DE COSTO'!D163</f>
        <v>288203.19889600005</v>
      </c>
      <c r="C11" s="1278">
        <v>15</v>
      </c>
      <c r="D11" s="1260">
        <f t="shared" si="1"/>
        <v>19213.546593066669</v>
      </c>
      <c r="E11" s="1260">
        <f t="shared" si="2"/>
        <v>883.78779176939599</v>
      </c>
      <c r="F11" s="1263">
        <v>6210</v>
      </c>
      <c r="G11" s="1297">
        <f t="shared" si="3"/>
        <v>285.64857405703776</v>
      </c>
      <c r="H11" s="1297">
        <f t="shared" si="4"/>
        <v>286</v>
      </c>
      <c r="I11" s="1262">
        <f t="shared" si="5"/>
        <v>23056.25591168</v>
      </c>
      <c r="J11" s="1263"/>
      <c r="K11" s="1274">
        <f t="shared" si="6"/>
        <v>1060.5453501232751</v>
      </c>
      <c r="L11" s="1263"/>
      <c r="M11" s="1263" t="e">
        <f>#REF!/#REF!</f>
        <v>#REF!</v>
      </c>
      <c r="N11" s="1297">
        <v>300</v>
      </c>
      <c r="O11" s="1269">
        <f t="shared" si="0"/>
        <v>14</v>
      </c>
    </row>
    <row r="12" spans="1:15" s="1265" customFormat="1" x14ac:dyDescent="0.2">
      <c r="A12" s="1271" t="s">
        <v>466</v>
      </c>
      <c r="B12" s="1276">
        <f>'FICHA DE COSTO'!D205</f>
        <v>241916.74529600001</v>
      </c>
      <c r="C12" s="1278">
        <v>15</v>
      </c>
      <c r="D12" s="1260">
        <f t="shared" si="1"/>
        <v>16127.783019733333</v>
      </c>
      <c r="E12" s="1260">
        <f t="shared" si="2"/>
        <v>741.84834497393445</v>
      </c>
      <c r="F12" s="1263">
        <v>2511</v>
      </c>
      <c r="G12" s="1297">
        <f t="shared" si="3"/>
        <v>115.50137994480221</v>
      </c>
      <c r="H12" s="1297">
        <f t="shared" si="4"/>
        <v>116</v>
      </c>
      <c r="I12" s="1262">
        <f t="shared" si="5"/>
        <v>19353.33962368</v>
      </c>
      <c r="J12" s="1263"/>
      <c r="K12" s="1274">
        <f t="shared" si="6"/>
        <v>890.21801396872127</v>
      </c>
      <c r="L12" s="1263"/>
      <c r="M12" s="1263" t="e">
        <f>#REF!/#REF!</f>
        <v>#REF!</v>
      </c>
      <c r="N12" s="1297">
        <v>200</v>
      </c>
      <c r="O12" s="1269">
        <f t="shared" si="0"/>
        <v>84</v>
      </c>
    </row>
    <row r="13" spans="1:15" s="1265" customFormat="1" x14ac:dyDescent="0.2">
      <c r="A13" s="1271" t="s">
        <v>1855</v>
      </c>
      <c r="B13" s="1276">
        <f>'FICHA DE COSTO'!D247</f>
        <v>160277.92843999999</v>
      </c>
      <c r="C13" s="1278">
        <v>17</v>
      </c>
      <c r="D13" s="1260">
        <f t="shared" si="1"/>
        <v>9428.1134376470582</v>
      </c>
      <c r="E13" s="1260">
        <f t="shared" si="2"/>
        <v>433.67587109692084</v>
      </c>
      <c r="F13" s="1263">
        <v>4955</v>
      </c>
      <c r="G13" s="1297">
        <f t="shared" si="3"/>
        <v>227.92088316467343</v>
      </c>
      <c r="H13" s="1297">
        <f t="shared" si="4"/>
        <v>228</v>
      </c>
      <c r="I13" s="1262">
        <f t="shared" si="5"/>
        <v>11313.736125176469</v>
      </c>
      <c r="J13" s="1263"/>
      <c r="K13" s="1274">
        <f t="shared" si="6"/>
        <v>520.41104531630492</v>
      </c>
      <c r="L13" s="1263"/>
      <c r="M13" s="1263" t="e">
        <f>#REF!/#REF!</f>
        <v>#REF!</v>
      </c>
      <c r="N13" s="1297">
        <v>228</v>
      </c>
      <c r="O13" s="1269">
        <f t="shared" si="0"/>
        <v>0</v>
      </c>
    </row>
    <row r="14" spans="1:15" s="1265" customFormat="1" x14ac:dyDescent="0.2">
      <c r="A14" s="1271" t="s">
        <v>297</v>
      </c>
      <c r="B14" s="1276">
        <f>'FICHA DE COSTO'!D289</f>
        <v>199832.74063999997</v>
      </c>
      <c r="C14" s="1278">
        <v>15</v>
      </c>
      <c r="D14" s="1260">
        <f t="shared" si="1"/>
        <v>13322.182709333332</v>
      </c>
      <c r="E14" s="1260">
        <f t="shared" si="2"/>
        <v>612.79589279362153</v>
      </c>
      <c r="F14" s="1263">
        <v>2603</v>
      </c>
      <c r="G14" s="1297">
        <f t="shared" si="3"/>
        <v>119.73321067157315</v>
      </c>
      <c r="H14" s="1297">
        <f t="shared" si="4"/>
        <v>120</v>
      </c>
      <c r="I14" s="1262">
        <f t="shared" si="5"/>
        <v>15986.619251199998</v>
      </c>
      <c r="J14" s="1263"/>
      <c r="K14" s="1274">
        <f t="shared" si="6"/>
        <v>735.35507135234582</v>
      </c>
      <c r="L14" s="1263"/>
      <c r="M14" s="1263"/>
      <c r="N14" s="1297">
        <v>200</v>
      </c>
      <c r="O14" s="1269">
        <f t="shared" si="0"/>
        <v>80</v>
      </c>
    </row>
    <row r="15" spans="1:15" ht="15" customHeight="1" x14ac:dyDescent="0.2">
      <c r="A15" s="1284" t="s">
        <v>19</v>
      </c>
      <c r="B15" s="1277">
        <f>[1]DATOS!$E$3</f>
        <v>107263.10287352382</v>
      </c>
      <c r="C15" s="1279">
        <f>[1]DATOS!$F$3</f>
        <v>22.5</v>
      </c>
      <c r="D15" s="1260">
        <f t="shared" si="1"/>
        <v>4767.2490166010584</v>
      </c>
      <c r="E15" s="1260">
        <f t="shared" si="2"/>
        <v>219.28468337631364</v>
      </c>
      <c r="F15" s="1280">
        <f>[1]DATOS!$I$3</f>
        <v>5594</v>
      </c>
      <c r="G15" s="1297">
        <f t="shared" si="3"/>
        <v>257.31370745170193</v>
      </c>
      <c r="H15" s="1297">
        <f t="shared" si="4"/>
        <v>258</v>
      </c>
      <c r="I15" s="1262">
        <f t="shared" si="5"/>
        <v>5720.6988199212701</v>
      </c>
      <c r="J15" s="1275"/>
      <c r="K15" s="1274">
        <f t="shared" si="6"/>
        <v>263.14162005157635</v>
      </c>
      <c r="L15" s="1275"/>
      <c r="M15" s="1275"/>
      <c r="N15" s="1297">
        <v>258</v>
      </c>
      <c r="O15" s="1269">
        <f>N15-H15</f>
        <v>0</v>
      </c>
    </row>
    <row r="16" spans="1:15" ht="15" customHeight="1" x14ac:dyDescent="0.2">
      <c r="A16" s="1284" t="s">
        <v>1884</v>
      </c>
      <c r="B16" s="1277">
        <f>[1]DATOS!$E$4</f>
        <v>89139.557627523842</v>
      </c>
      <c r="C16" s="1279">
        <f>[1]DATOS!$F$4</f>
        <v>17</v>
      </c>
      <c r="D16" s="1260">
        <f t="shared" si="1"/>
        <v>5243.5033898543434</v>
      </c>
      <c r="E16" s="1260">
        <f t="shared" si="2"/>
        <v>241.19150827296889</v>
      </c>
      <c r="F16" s="1280">
        <f>[1]DATOS!$I$4</f>
        <v>5594</v>
      </c>
      <c r="G16" s="1297">
        <f t="shared" si="3"/>
        <v>257.31370745170193</v>
      </c>
      <c r="H16" s="1297">
        <f t="shared" si="4"/>
        <v>258</v>
      </c>
      <c r="I16" s="1262">
        <f t="shared" si="5"/>
        <v>6292.2040678252115</v>
      </c>
      <c r="J16" s="1275"/>
      <c r="K16" s="1274">
        <f t="shared" si="6"/>
        <v>289.42980992756264</v>
      </c>
      <c r="L16" s="1275"/>
      <c r="M16" s="1275"/>
      <c r="N16" s="1297">
        <v>300</v>
      </c>
      <c r="O16" s="1269">
        <f t="shared" ref="O16:O35" si="7">N16-H16</f>
        <v>42</v>
      </c>
    </row>
    <row r="17" spans="1:15" ht="15" customHeight="1" x14ac:dyDescent="0.2">
      <c r="A17" s="1782" t="s">
        <v>1892</v>
      </c>
      <c r="B17" s="1783"/>
      <c r="C17" s="1783"/>
      <c r="D17" s="1783"/>
      <c r="E17" s="1783"/>
      <c r="F17" s="1783"/>
      <c r="G17" s="1783"/>
      <c r="H17" s="1783"/>
      <c r="I17" s="1783"/>
      <c r="J17" s="1783"/>
      <c r="K17" s="1783"/>
      <c r="L17" s="1275"/>
      <c r="M17" s="1275"/>
      <c r="N17" s="1297"/>
      <c r="O17" s="1269"/>
    </row>
    <row r="18" spans="1:15" ht="15" hidden="1" customHeight="1" thickBot="1" x14ac:dyDescent="0.25">
      <c r="A18" s="1305" t="s">
        <v>1491</v>
      </c>
      <c r="B18" s="1296"/>
      <c r="C18" s="1296"/>
      <c r="D18" s="1260" t="e">
        <f t="shared" ref="D18:D28" si="8">B18/C18</f>
        <v>#DIV/0!</v>
      </c>
      <c r="E18" s="1260" t="e">
        <f t="shared" ref="E18:E28" si="9">D18/21.74</f>
        <v>#DIV/0!</v>
      </c>
      <c r="F18" s="1769" t="s">
        <v>1492</v>
      </c>
      <c r="G18" s="1769"/>
      <c r="H18" s="1769"/>
      <c r="I18" s="1769"/>
      <c r="J18" s="1769"/>
      <c r="K18" s="1769"/>
      <c r="L18" s="1769"/>
      <c r="M18" s="1295"/>
      <c r="N18" s="1297">
        <f t="shared" ref="N18:N26" si="10">ROUNDUP(K18,0)</f>
        <v>0</v>
      </c>
      <c r="O18" s="1269">
        <f t="shared" si="7"/>
        <v>0</v>
      </c>
    </row>
    <row r="19" spans="1:15" ht="15" hidden="1" customHeight="1" x14ac:dyDescent="0.2">
      <c r="A19" s="1772" t="s">
        <v>926</v>
      </c>
      <c r="B19" s="1296"/>
      <c r="C19" s="1296"/>
      <c r="D19" s="1260" t="e">
        <f t="shared" si="8"/>
        <v>#DIV/0!</v>
      </c>
      <c r="E19" s="1260" t="e">
        <f t="shared" si="9"/>
        <v>#DIV/0!</v>
      </c>
      <c r="F19" s="1769" t="s">
        <v>1493</v>
      </c>
      <c r="G19" s="1295"/>
      <c r="H19" s="1295"/>
      <c r="I19" s="1769" t="s">
        <v>1494</v>
      </c>
      <c r="J19" s="1769" t="s">
        <v>1495</v>
      </c>
      <c r="K19" s="1769" t="s">
        <v>1496</v>
      </c>
      <c r="L19" s="1769" t="s">
        <v>1497</v>
      </c>
      <c r="M19" s="1769" t="s">
        <v>1498</v>
      </c>
      <c r="N19" s="1297" t="e">
        <f t="shared" si="10"/>
        <v>#VALUE!</v>
      </c>
      <c r="O19" s="1269" t="e">
        <f t="shared" si="7"/>
        <v>#VALUE!</v>
      </c>
    </row>
    <row r="20" spans="1:15" ht="15" hidden="1" customHeight="1" thickBot="1" x14ac:dyDescent="0.25">
      <c r="A20" s="1772"/>
      <c r="B20" s="1296"/>
      <c r="C20" s="1296"/>
      <c r="D20" s="1260" t="e">
        <f t="shared" si="8"/>
        <v>#DIV/0!</v>
      </c>
      <c r="E20" s="1260" t="e">
        <f t="shared" si="9"/>
        <v>#DIV/0!</v>
      </c>
      <c r="F20" s="1769"/>
      <c r="G20" s="1295"/>
      <c r="H20" s="1295"/>
      <c r="I20" s="1769"/>
      <c r="J20" s="1769"/>
      <c r="K20" s="1769"/>
      <c r="L20" s="1769"/>
      <c r="M20" s="1769"/>
      <c r="N20" s="1297">
        <f t="shared" si="10"/>
        <v>0</v>
      </c>
      <c r="O20" s="1269">
        <f t="shared" si="7"/>
        <v>0</v>
      </c>
    </row>
    <row r="21" spans="1:15" ht="15" hidden="1" customHeight="1" thickBot="1" x14ac:dyDescent="0.25">
      <c r="A21" s="1305" t="s">
        <v>1499</v>
      </c>
      <c r="B21" s="1296"/>
      <c r="C21" s="1296"/>
      <c r="D21" s="1260" t="e">
        <f t="shared" si="8"/>
        <v>#DIV/0!</v>
      </c>
      <c r="E21" s="1260" t="e">
        <f t="shared" si="9"/>
        <v>#DIV/0!</v>
      </c>
      <c r="F21" s="1288">
        <v>4.5</v>
      </c>
      <c r="G21" s="1288"/>
      <c r="H21" s="1288"/>
      <c r="I21" s="1288">
        <v>4.5</v>
      </c>
      <c r="J21" s="1288">
        <v>266</v>
      </c>
      <c r="K21" s="1288"/>
      <c r="L21" s="1288">
        <v>250</v>
      </c>
      <c r="M21" s="1298" t="e">
        <f>#REF!/#REF!</f>
        <v>#REF!</v>
      </c>
      <c r="N21" s="1297">
        <f t="shared" si="10"/>
        <v>0</v>
      </c>
      <c r="O21" s="1269">
        <f t="shared" si="7"/>
        <v>0</v>
      </c>
    </row>
    <row r="22" spans="1:15" s="1267" customFormat="1" ht="15" hidden="1" customHeight="1" thickBot="1" x14ac:dyDescent="0.25">
      <c r="A22" s="1306" t="s">
        <v>1500</v>
      </c>
      <c r="B22" s="1289"/>
      <c r="C22" s="1289"/>
      <c r="D22" s="1260" t="e">
        <f t="shared" si="8"/>
        <v>#DIV/0!</v>
      </c>
      <c r="E22" s="1260" t="e">
        <f t="shared" si="9"/>
        <v>#DIV/0!</v>
      </c>
      <c r="F22" s="1290">
        <v>21420</v>
      </c>
      <c r="G22" s="1290"/>
      <c r="H22" s="1290"/>
      <c r="I22" s="1290">
        <v>21420</v>
      </c>
      <c r="J22" s="1290">
        <v>21400</v>
      </c>
      <c r="K22" s="1290"/>
      <c r="L22" s="1290">
        <v>35000</v>
      </c>
      <c r="M22" s="1299" t="e">
        <f>#REF!/#REF!</f>
        <v>#REF!</v>
      </c>
      <c r="N22" s="1297">
        <f t="shared" si="10"/>
        <v>0</v>
      </c>
      <c r="O22" s="1269">
        <f t="shared" si="7"/>
        <v>0</v>
      </c>
    </row>
    <row r="23" spans="1:15" ht="15" hidden="1" customHeight="1" thickBot="1" x14ac:dyDescent="0.25">
      <c r="A23" s="1306" t="s">
        <v>1501</v>
      </c>
      <c r="B23" s="1289"/>
      <c r="C23" s="1289"/>
      <c r="D23" s="1260" t="e">
        <f t="shared" si="8"/>
        <v>#DIV/0!</v>
      </c>
      <c r="E23" s="1260" t="e">
        <f t="shared" si="9"/>
        <v>#DIV/0!</v>
      </c>
      <c r="F23" s="1288">
        <v>12500</v>
      </c>
      <c r="G23" s="1288"/>
      <c r="H23" s="1288"/>
      <c r="I23" s="1288">
        <v>12500</v>
      </c>
      <c r="J23" s="1288">
        <v>12900</v>
      </c>
      <c r="K23" s="1288"/>
      <c r="L23" s="1288"/>
      <c r="M23" s="1298">
        <v>0</v>
      </c>
      <c r="N23" s="1297">
        <f t="shared" si="10"/>
        <v>0</v>
      </c>
      <c r="O23" s="1269">
        <f t="shared" si="7"/>
        <v>0</v>
      </c>
    </row>
    <row r="24" spans="1:15" ht="15" hidden="1" customHeight="1" thickBot="1" x14ac:dyDescent="0.25">
      <c r="A24" s="1305" t="s">
        <v>1502</v>
      </c>
      <c r="B24" s="1296"/>
      <c r="C24" s="1296"/>
      <c r="D24" s="1260" t="e">
        <f t="shared" si="8"/>
        <v>#DIV/0!</v>
      </c>
      <c r="E24" s="1260" t="e">
        <f t="shared" si="9"/>
        <v>#DIV/0!</v>
      </c>
      <c r="F24" s="1288">
        <v>12688</v>
      </c>
      <c r="G24" s="1288"/>
      <c r="H24" s="1288"/>
      <c r="I24" s="1288">
        <v>12688</v>
      </c>
      <c r="J24" s="1288">
        <v>16848</v>
      </c>
      <c r="K24" s="1288"/>
      <c r="L24" s="1288">
        <v>18720</v>
      </c>
      <c r="M24" s="1298" t="e">
        <f>#REF!/#REF!</f>
        <v>#REF!</v>
      </c>
      <c r="N24" s="1297">
        <f t="shared" si="10"/>
        <v>0</v>
      </c>
      <c r="O24" s="1269">
        <f t="shared" si="7"/>
        <v>0</v>
      </c>
    </row>
    <row r="25" spans="1:15" ht="15" hidden="1" customHeight="1" x14ac:dyDescent="0.2">
      <c r="A25" s="1284"/>
      <c r="B25" s="1275"/>
      <c r="C25" s="1275"/>
      <c r="D25" s="1260" t="e">
        <f t="shared" si="8"/>
        <v>#DIV/0!</v>
      </c>
      <c r="E25" s="1260" t="e">
        <f t="shared" si="9"/>
        <v>#DIV/0!</v>
      </c>
      <c r="F25" s="1275"/>
      <c r="G25" s="1275"/>
      <c r="H25" s="1275"/>
      <c r="I25" s="1275"/>
      <c r="J25" s="1275"/>
      <c r="K25" s="1275"/>
      <c r="L25" s="1275"/>
      <c r="M25" s="1275"/>
      <c r="N25" s="1297">
        <f t="shared" si="10"/>
        <v>0</v>
      </c>
      <c r="O25" s="1269">
        <f t="shared" si="7"/>
        <v>0</v>
      </c>
    </row>
    <row r="26" spans="1:15" ht="15" hidden="1" customHeight="1" x14ac:dyDescent="0.2">
      <c r="A26" s="1284"/>
      <c r="B26" s="1275"/>
      <c r="C26" s="1275"/>
      <c r="D26" s="1260" t="e">
        <f t="shared" si="8"/>
        <v>#DIV/0!</v>
      </c>
      <c r="E26" s="1260" t="e">
        <f t="shared" si="9"/>
        <v>#DIV/0!</v>
      </c>
      <c r="F26" s="1275"/>
      <c r="G26" s="1275"/>
      <c r="H26" s="1275"/>
      <c r="I26" s="1275"/>
      <c r="J26" s="1275"/>
      <c r="K26" s="1275"/>
      <c r="L26" s="1275"/>
      <c r="M26" s="1275"/>
      <c r="N26" s="1297">
        <f t="shared" si="10"/>
        <v>0</v>
      </c>
      <c r="O26" s="1269">
        <f t="shared" si="7"/>
        <v>0</v>
      </c>
    </row>
    <row r="27" spans="1:15" ht="15" customHeight="1" x14ac:dyDescent="0.2">
      <c r="A27" s="1284" t="str">
        <f>[2]Datos!$A$6</f>
        <v>Calabaza</v>
      </c>
      <c r="B27" s="1280">
        <f>[2]Datos!$B$6</f>
        <v>35044.776652500004</v>
      </c>
      <c r="C27" s="1291">
        <f>[2]Datos!$C$6</f>
        <v>10</v>
      </c>
      <c r="D27" s="1260">
        <f t="shared" si="8"/>
        <v>3504.4776652500004</v>
      </c>
      <c r="E27" s="1260">
        <f t="shared" si="9"/>
        <v>161.19952462051521</v>
      </c>
      <c r="F27" s="1280">
        <v>5622</v>
      </c>
      <c r="G27" s="1297">
        <f>F27/21.74</f>
        <v>258.60165593376269</v>
      </c>
      <c r="H27" s="1297">
        <f t="shared" ref="H27:H35" si="11">ROUNDUP(G27,0)</f>
        <v>259</v>
      </c>
      <c r="I27" s="1262">
        <f>D27*1.2</f>
        <v>4205.3731983000007</v>
      </c>
      <c r="J27" s="1275"/>
      <c r="K27" s="1274">
        <f>I27/21.74</f>
        <v>193.43942954461826</v>
      </c>
      <c r="L27" s="1275"/>
      <c r="M27" s="1275"/>
      <c r="N27" s="1297">
        <v>200</v>
      </c>
      <c r="O27" s="1269">
        <f t="shared" si="7"/>
        <v>-59</v>
      </c>
    </row>
    <row r="28" spans="1:15" x14ac:dyDescent="0.2">
      <c r="A28" s="1284" t="str">
        <f>[2]Datos!$A$9</f>
        <v>Tomate</v>
      </c>
      <c r="B28" s="1280">
        <f>[2]Datos!$B$9</f>
        <v>55001.305779537557</v>
      </c>
      <c r="C28" s="1291">
        <f>[2]Datos!$C$9</f>
        <v>13</v>
      </c>
      <c r="D28" s="1260">
        <f t="shared" si="8"/>
        <v>4230.8696753490431</v>
      </c>
      <c r="E28" s="1260">
        <f t="shared" si="9"/>
        <v>194.6122205772329</v>
      </c>
      <c r="F28" s="1280">
        <v>5674</v>
      </c>
      <c r="G28" s="1297">
        <f>F28/21.74</f>
        <v>260.99356025758971</v>
      </c>
      <c r="H28" s="1297">
        <f t="shared" si="11"/>
        <v>261</v>
      </c>
      <c r="I28" s="1262">
        <f>D28*1.2</f>
        <v>5077.0436104188511</v>
      </c>
      <c r="J28" s="1275"/>
      <c r="K28" s="1274">
        <f>I28/21.74</f>
        <v>233.53466469267946</v>
      </c>
      <c r="L28" s="1275"/>
      <c r="M28" s="1275"/>
      <c r="N28" s="1297">
        <v>261</v>
      </c>
      <c r="O28" s="1269">
        <f t="shared" si="7"/>
        <v>0</v>
      </c>
    </row>
    <row r="29" spans="1:15" x14ac:dyDescent="0.2">
      <c r="A29" s="1307" t="s">
        <v>1893</v>
      </c>
      <c r="B29" s="1292"/>
      <c r="C29" s="1292"/>
      <c r="D29" s="1292"/>
      <c r="E29" s="1292"/>
      <c r="F29" s="1292"/>
      <c r="G29" s="1292"/>
      <c r="H29" s="1292"/>
      <c r="I29" s="1292"/>
      <c r="J29" s="1292"/>
      <c r="K29" s="1292"/>
      <c r="L29" s="1275"/>
      <c r="M29" s="1275"/>
      <c r="N29" s="1297"/>
      <c r="O29" s="1269"/>
    </row>
    <row r="30" spans="1:15" x14ac:dyDescent="0.2">
      <c r="A30" s="1284" t="str">
        <f>'[3]Datos 2'!$A$4</f>
        <v>Guayaba</v>
      </c>
      <c r="B30" s="1280">
        <f>'[3]Datos 2'!$B$4</f>
        <v>112503.4921</v>
      </c>
      <c r="C30" s="1291">
        <f>'[3]Datos 2'!$C$4</f>
        <v>20</v>
      </c>
      <c r="D30" s="1260">
        <f>B30/C30</f>
        <v>5625.1746050000002</v>
      </c>
      <c r="E30" s="1260">
        <f>D30/21.74</f>
        <v>258.74768192272313</v>
      </c>
      <c r="F30" s="1280">
        <v>11529</v>
      </c>
      <c r="G30" s="1293">
        <f>F30/21.74</f>
        <v>530.31278748850048</v>
      </c>
      <c r="H30" s="1297">
        <f t="shared" si="11"/>
        <v>531</v>
      </c>
      <c r="I30" s="1262">
        <f>D30*1.2</f>
        <v>6750.2095259999996</v>
      </c>
      <c r="J30" s="1275"/>
      <c r="K30" s="1274">
        <f t="shared" ref="K30:K35" si="12">I30/21.74</f>
        <v>310.4972183072677</v>
      </c>
      <c r="L30" s="1275"/>
      <c r="M30" s="1275"/>
      <c r="N30" s="1297">
        <v>360</v>
      </c>
      <c r="O30" s="1269">
        <f t="shared" si="7"/>
        <v>-171</v>
      </c>
    </row>
    <row r="31" spans="1:15" x14ac:dyDescent="0.2">
      <c r="A31" s="1284" t="str">
        <f>'[3]Datos 2'!$A$5</f>
        <v>Mango</v>
      </c>
      <c r="B31" s="1280">
        <f>'[3]Datos 2'!$B$5</f>
        <v>63194.127899999999</v>
      </c>
      <c r="C31" s="1291">
        <f>'[3]Datos 2'!$C$5</f>
        <v>15</v>
      </c>
      <c r="D31" s="1260">
        <f>B31/C31</f>
        <v>4212.9418599999999</v>
      </c>
      <c r="E31" s="1260">
        <f>D31/21.74</f>
        <v>193.78757405703772</v>
      </c>
      <c r="F31" s="1280">
        <v>9658</v>
      </c>
      <c r="G31" s="1293">
        <f>F31/21.74</f>
        <v>444.25022999080039</v>
      </c>
      <c r="H31" s="1297">
        <f t="shared" si="11"/>
        <v>445</v>
      </c>
      <c r="I31" s="1262">
        <f>D31*1.2</f>
        <v>5055.5302320000001</v>
      </c>
      <c r="J31" s="1275"/>
      <c r="K31" s="1274">
        <f t="shared" si="12"/>
        <v>232.54508886844528</v>
      </c>
      <c r="L31" s="1275"/>
      <c r="M31" s="1275"/>
      <c r="N31" s="1297">
        <v>325</v>
      </c>
      <c r="O31" s="1269">
        <f t="shared" si="7"/>
        <v>-120</v>
      </c>
    </row>
    <row r="32" spans="1:15" x14ac:dyDescent="0.2">
      <c r="A32" s="1284" t="str">
        <f>'[3]Datos 2'!$A$6</f>
        <v>Papaya</v>
      </c>
      <c r="B32" s="1280">
        <f>'[3]Datos 2'!$B$6</f>
        <v>110214.73123999999</v>
      </c>
      <c r="C32" s="1291">
        <f>'[3]Datos 2'!$C$6</f>
        <v>25</v>
      </c>
      <c r="D32" s="1260">
        <f>B32/C32</f>
        <v>4408.5892495999997</v>
      </c>
      <c r="E32" s="1260">
        <f>D32/21.74</f>
        <v>202.78699400183993</v>
      </c>
      <c r="F32" s="1280">
        <v>6213</v>
      </c>
      <c r="G32" s="1293">
        <f>F32/21.74</f>
        <v>285.78656853725852</v>
      </c>
      <c r="H32" s="1297">
        <f t="shared" si="11"/>
        <v>286</v>
      </c>
      <c r="I32" s="1262">
        <f>D32*1.2</f>
        <v>5290.3070995199996</v>
      </c>
      <c r="J32" s="1275"/>
      <c r="K32" s="1274">
        <f t="shared" si="12"/>
        <v>243.34439280220792</v>
      </c>
      <c r="L32" s="1275"/>
      <c r="M32" s="1275"/>
      <c r="N32" s="1297">
        <v>240</v>
      </c>
      <c r="O32" s="1269">
        <f t="shared" si="7"/>
        <v>-46</v>
      </c>
    </row>
    <row r="33" spans="1:15" ht="22.15" customHeight="1" x14ac:dyDescent="0.2">
      <c r="A33" s="1767" t="s">
        <v>1895</v>
      </c>
      <c r="B33" s="1768"/>
      <c r="C33" s="1768"/>
      <c r="D33" s="1768"/>
      <c r="E33" s="1768"/>
      <c r="F33" s="1768"/>
      <c r="G33" s="1768"/>
      <c r="H33" s="1768"/>
      <c r="I33" s="1768"/>
      <c r="J33" s="1768"/>
      <c r="K33" s="1768"/>
      <c r="L33" s="1275"/>
      <c r="M33" s="1275"/>
      <c r="N33" s="1297"/>
      <c r="O33" s="1269"/>
    </row>
    <row r="34" spans="1:15" x14ac:dyDescent="0.2">
      <c r="A34" s="1284" t="str">
        <f>[4]Datos!$B$5</f>
        <v>Frijoles</v>
      </c>
      <c r="B34" s="1294">
        <f>[4]Datos!$D$5</f>
        <v>26118.023611000001</v>
      </c>
      <c r="C34" s="1279">
        <f>[4]Datos!$C$5</f>
        <v>1.05</v>
      </c>
      <c r="D34" s="1260">
        <f>B34/C34</f>
        <v>24874.308200952379</v>
      </c>
      <c r="E34" s="1260">
        <f>D34/21.74</f>
        <v>1144.1724103473955</v>
      </c>
      <c r="F34" s="1280">
        <v>26146</v>
      </c>
      <c r="G34" s="1280">
        <f>F34/21.74</f>
        <v>1202.6678932842688</v>
      </c>
      <c r="H34" s="1297">
        <f t="shared" si="11"/>
        <v>1203</v>
      </c>
      <c r="I34" s="1262">
        <f>D34*1.2</f>
        <v>29849.169841142852</v>
      </c>
      <c r="J34" s="1280"/>
      <c r="K34" s="1274">
        <f t="shared" si="12"/>
        <v>1373.0068924168745</v>
      </c>
      <c r="L34" s="1275"/>
      <c r="M34" s="1275"/>
      <c r="N34" s="1297">
        <v>1203</v>
      </c>
      <c r="O34" s="1269">
        <f t="shared" si="7"/>
        <v>0</v>
      </c>
    </row>
    <row r="35" spans="1:15" x14ac:dyDescent="0.2">
      <c r="A35" s="1284" t="str">
        <f>[5]Datos!$A$3</f>
        <v>Maíz seco en granos</v>
      </c>
      <c r="B35" s="1294">
        <f>[5]Datos!$B$3</f>
        <v>22910.232948000004</v>
      </c>
      <c r="C35" s="1279">
        <f>[5]Datos!$C$3</f>
        <v>2</v>
      </c>
      <c r="D35" s="1260">
        <f>B35/C35</f>
        <v>11455.116474000002</v>
      </c>
      <c r="E35" s="1260">
        <f>D35/21.74</f>
        <v>526.9142812327508</v>
      </c>
      <c r="F35" s="1280">
        <v>14156</v>
      </c>
      <c r="G35" s="1280">
        <f>F35/21.74</f>
        <v>651.14995400184</v>
      </c>
      <c r="H35" s="1297">
        <f t="shared" si="11"/>
        <v>652</v>
      </c>
      <c r="I35" s="1280">
        <f>D35*1.2</f>
        <v>13746.139768800002</v>
      </c>
      <c r="J35" s="1280"/>
      <c r="K35" s="1280">
        <f t="shared" si="12"/>
        <v>632.297137479301</v>
      </c>
      <c r="L35" s="1275"/>
      <c r="M35" s="1275"/>
      <c r="N35" s="1297">
        <v>652</v>
      </c>
      <c r="O35" s="1269">
        <f t="shared" si="7"/>
        <v>0</v>
      </c>
    </row>
    <row r="36" spans="1:15" ht="15.75" thickBot="1" x14ac:dyDescent="0.25">
      <c r="A36" s="1308"/>
      <c r="B36" s="1286"/>
      <c r="C36" s="1286"/>
      <c r="D36" s="1286"/>
      <c r="E36" s="1286"/>
      <c r="F36" s="1285"/>
      <c r="G36" s="1285"/>
      <c r="H36" s="1285"/>
      <c r="I36" s="1285"/>
      <c r="J36" s="1285"/>
      <c r="K36" s="1285"/>
      <c r="L36" s="1286"/>
      <c r="M36" s="1286"/>
      <c r="N36" s="1309"/>
      <c r="O36" s="1310"/>
    </row>
  </sheetData>
  <mergeCells count="27">
    <mergeCell ref="A2:M2"/>
    <mergeCell ref="L19:L20"/>
    <mergeCell ref="M19:M20"/>
    <mergeCell ref="B3:B5"/>
    <mergeCell ref="C3:C5"/>
    <mergeCell ref="D3:D5"/>
    <mergeCell ref="E3:E5"/>
    <mergeCell ref="J19:J20"/>
    <mergeCell ref="K19:K20"/>
    <mergeCell ref="A4:A5"/>
    <mergeCell ref="F3:F5"/>
    <mergeCell ref="J3:J5"/>
    <mergeCell ref="K3:K5"/>
    <mergeCell ref="G3:G5"/>
    <mergeCell ref="I3:I5"/>
    <mergeCell ref="A17:K17"/>
    <mergeCell ref="A7:K7"/>
    <mergeCell ref="N3:N5"/>
    <mergeCell ref="H3:H5"/>
    <mergeCell ref="O3:O5"/>
    <mergeCell ref="A33:K33"/>
    <mergeCell ref="M4:M5"/>
    <mergeCell ref="F18:L18"/>
    <mergeCell ref="L4:L5"/>
    <mergeCell ref="A19:A20"/>
    <mergeCell ref="F19:F20"/>
    <mergeCell ref="I19:I20"/>
  </mergeCells>
  <pageMargins left="0.70866141732283472" right="0.31496062992125984" top="0.74803149606299213" bottom="0.74803149606299213" header="0.31496062992125984" footer="0.31496062992125984"/>
  <pageSetup scale="90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295"/>
  <sheetViews>
    <sheetView showGridLines="0" showZeros="0" tabSelected="1" defaultGridColor="0" topLeftCell="A72" colorId="23" zoomScale="87" zoomScaleNormal="87" workbookViewId="0">
      <selection activeCell="A88" sqref="A88"/>
    </sheetView>
  </sheetViews>
  <sheetFormatPr baseColWidth="10" defaultColWidth="11.42578125" defaultRowHeight="15" customHeight="1" x14ac:dyDescent="0.2"/>
  <cols>
    <col min="1" max="1" width="66.28515625" style="1536" customWidth="1"/>
    <col min="2" max="2" width="12.42578125" style="1098" customWidth="1"/>
    <col min="3" max="3" width="14" style="1097" hidden="1" customWidth="1"/>
    <col min="4" max="5" width="15.7109375" style="1619" customWidth="1"/>
    <col min="6" max="6" width="43.28515625" style="1546" customWidth="1"/>
    <col min="7" max="7" width="12.28515625" style="1096" customWidth="1"/>
    <col min="8" max="8" width="14.7109375" style="1096" customWidth="1"/>
    <col min="9" max="11" width="11.42578125" style="1097"/>
    <col min="12" max="18" width="11.42578125" style="1098"/>
    <col min="19" max="19" width="9.42578125" style="1098" customWidth="1"/>
    <col min="20" max="16384" width="11.42578125" style="1098"/>
  </cols>
  <sheetData>
    <row r="1" spans="1:11" ht="15" customHeight="1" thickBot="1" x14ac:dyDescent="0.25">
      <c r="A1" s="1494">
        <v>1</v>
      </c>
      <c r="B1" s="1495">
        <v>2</v>
      </c>
      <c r="C1" s="1496">
        <v>3</v>
      </c>
      <c r="D1" s="1497">
        <v>4</v>
      </c>
      <c r="E1" s="1679"/>
      <c r="F1" s="1544"/>
      <c r="G1" s="1498"/>
      <c r="H1" s="1498"/>
    </row>
    <row r="2" spans="1:11" s="1493" customFormat="1" ht="15" customHeight="1" x14ac:dyDescent="0.25">
      <c r="A2" s="1788" t="s">
        <v>2093</v>
      </c>
      <c r="B2" s="1789"/>
      <c r="C2" s="1789"/>
      <c r="D2" s="1790"/>
      <c r="E2" s="1628"/>
      <c r="F2" s="1545" t="str">
        <f t="shared" ref="F2:F43" si="0">A$4</f>
        <v>Producto: Malanga colocasia Palacio de la Revolución</v>
      </c>
      <c r="G2" s="1491"/>
      <c r="H2" s="1491"/>
      <c r="I2" s="1492"/>
      <c r="J2" s="1492"/>
      <c r="K2" s="1492"/>
    </row>
    <row r="3" spans="1:11" s="1493" customFormat="1" ht="15" customHeight="1" x14ac:dyDescent="0.25">
      <c r="A3" s="1791" t="s">
        <v>1852</v>
      </c>
      <c r="B3" s="1792"/>
      <c r="C3" s="1792"/>
      <c r="D3" s="1793"/>
      <c r="E3" s="1628"/>
      <c r="F3" s="1545" t="str">
        <f t="shared" si="0"/>
        <v>Producto: Malanga colocasia Palacio de la Revolución</v>
      </c>
      <c r="G3" s="1491"/>
      <c r="H3" s="1491"/>
      <c r="I3" s="1492"/>
      <c r="J3" s="1492"/>
      <c r="K3" s="1492"/>
    </row>
    <row r="4" spans="1:11" ht="15" customHeight="1" x14ac:dyDescent="0.2">
      <c r="A4" s="1499" t="s">
        <v>2087</v>
      </c>
      <c r="B4" s="1784" t="s">
        <v>278</v>
      </c>
      <c r="C4" s="1785"/>
      <c r="D4" s="1618">
        <v>10</v>
      </c>
      <c r="E4" s="1680"/>
      <c r="F4" s="1544" t="str">
        <f t="shared" si="0"/>
        <v>Producto: Malanga colocasia Palacio de la Revolución</v>
      </c>
    </row>
    <row r="5" spans="1:11" s="1501" customFormat="1" ht="15" customHeight="1" thickBot="1" x14ac:dyDescent="0.25">
      <c r="A5" s="1500" t="s">
        <v>637</v>
      </c>
      <c r="C5" s="1502"/>
      <c r="D5" s="1503"/>
      <c r="E5" s="1681"/>
      <c r="F5" s="1544" t="str">
        <f t="shared" si="0"/>
        <v>Producto: Malanga colocasia Palacio de la Revolución</v>
      </c>
      <c r="G5" s="1504"/>
      <c r="I5" s="1505"/>
      <c r="J5" s="1505"/>
      <c r="K5" s="1505"/>
    </row>
    <row r="6" spans="1:11" s="1511" customFormat="1" ht="32.25" customHeight="1" thickBot="1" x14ac:dyDescent="0.25">
      <c r="A6" s="1506" t="s">
        <v>1368</v>
      </c>
      <c r="B6" s="1507" t="s">
        <v>242</v>
      </c>
      <c r="C6" s="1508" t="s">
        <v>1976</v>
      </c>
      <c r="D6" s="1506" t="s">
        <v>1967</v>
      </c>
      <c r="E6" s="1682"/>
      <c r="F6" s="1544" t="str">
        <f t="shared" si="0"/>
        <v>Producto: Malanga colocasia Palacio de la Revolución</v>
      </c>
      <c r="G6" s="1509"/>
      <c r="H6" s="1509"/>
      <c r="I6" s="1510"/>
      <c r="J6" s="1510"/>
      <c r="K6" s="1510"/>
    </row>
    <row r="7" spans="1:11" ht="15" customHeight="1" x14ac:dyDescent="0.2">
      <c r="A7" s="1512">
        <v>1</v>
      </c>
      <c r="B7" s="1513">
        <v>2</v>
      </c>
      <c r="C7" s="1514">
        <v>3</v>
      </c>
      <c r="D7" s="1515">
        <v>4</v>
      </c>
      <c r="E7" s="1679"/>
      <c r="F7" s="1544" t="str">
        <f t="shared" si="0"/>
        <v>Producto: Malanga colocasia Palacio de la Revolución</v>
      </c>
      <c r="G7" s="1498"/>
      <c r="H7" s="1498"/>
    </row>
    <row r="8" spans="1:11" ht="15" customHeight="1" x14ac:dyDescent="0.2">
      <c r="A8" s="1516" t="s">
        <v>905</v>
      </c>
      <c r="B8" s="1095">
        <v>1</v>
      </c>
      <c r="C8" s="1244">
        <f>C9+C10+C11+C12</f>
        <v>10182.429999999998</v>
      </c>
      <c r="D8" s="1244">
        <f>D9+D10+D11+D12</f>
        <v>27226.2</v>
      </c>
      <c r="E8" s="1498">
        <f>D8/D$37%</f>
        <v>12.387177976360713</v>
      </c>
      <c r="F8" s="1544" t="str">
        <f t="shared" si="0"/>
        <v>Producto: Malanga colocasia Palacio de la Revolución</v>
      </c>
      <c r="G8" s="1498"/>
      <c r="H8" s="1498"/>
      <c r="I8" s="1498"/>
    </row>
    <row r="9" spans="1:11" ht="15" customHeight="1" x14ac:dyDescent="0.2">
      <c r="A9" s="1516" t="s">
        <v>906</v>
      </c>
      <c r="B9" s="1095">
        <v>1.1000000000000001</v>
      </c>
      <c r="C9" s="1517">
        <f>IM!E60</f>
        <v>9447.5499999999993</v>
      </c>
      <c r="D9" s="1244">
        <f>IM!H60</f>
        <v>21828</v>
      </c>
      <c r="E9" s="1498">
        <f t="shared" ref="E9:E37" si="1">D9/D$37%</f>
        <v>9.9311442973313078</v>
      </c>
      <c r="F9" s="1544" t="str">
        <f t="shared" si="0"/>
        <v>Producto: Malanga colocasia Palacio de la Revolución</v>
      </c>
      <c r="G9" s="1498"/>
      <c r="H9" s="1498"/>
      <c r="I9" s="1498"/>
    </row>
    <row r="10" spans="1:11" ht="15" customHeight="1" x14ac:dyDescent="0.2">
      <c r="A10" s="1518" t="s">
        <v>909</v>
      </c>
      <c r="B10" s="1095">
        <v>1.2</v>
      </c>
      <c r="C10" s="1519"/>
      <c r="D10" s="1244">
        <f>IM!H63</f>
        <v>2919</v>
      </c>
      <c r="E10" s="1498">
        <f t="shared" si="1"/>
        <v>1.3280653382769876</v>
      </c>
      <c r="F10" s="1544" t="str">
        <f t="shared" si="0"/>
        <v>Producto: Malanga colocasia Palacio de la Revolución</v>
      </c>
      <c r="G10" s="1498"/>
    </row>
    <row r="11" spans="1:11" ht="15" customHeight="1" x14ac:dyDescent="0.2">
      <c r="A11" s="1516" t="s">
        <v>1472</v>
      </c>
      <c r="B11" s="1095">
        <v>1.3</v>
      </c>
      <c r="C11" s="1517">
        <f>IM!E64</f>
        <v>432.48</v>
      </c>
      <c r="D11" s="1244">
        <f>IM!H64</f>
        <v>2220</v>
      </c>
      <c r="E11" s="1498">
        <f t="shared" si="1"/>
        <v>1.0100394145169278</v>
      </c>
      <c r="F11" s="1544" t="str">
        <f t="shared" si="0"/>
        <v>Producto: Malanga colocasia Palacio de la Revolución</v>
      </c>
      <c r="G11" s="1498"/>
    </row>
    <row r="12" spans="1:11" ht="15" customHeight="1" x14ac:dyDescent="0.2">
      <c r="A12" s="1516" t="s">
        <v>283</v>
      </c>
      <c r="B12" s="1095">
        <v>1.4</v>
      </c>
      <c r="C12" s="1517">
        <f>IM!E62</f>
        <v>302.40000000000003</v>
      </c>
      <c r="D12" s="1244">
        <f>IM!H62</f>
        <v>259.20000000000005</v>
      </c>
      <c r="E12" s="1498">
        <f t="shared" si="1"/>
        <v>0.11792892623548998</v>
      </c>
      <c r="F12" s="1544" t="str">
        <f t="shared" si="0"/>
        <v>Producto: Malanga colocasia Palacio de la Revolución</v>
      </c>
      <c r="G12" s="1498"/>
      <c r="H12" s="1498"/>
    </row>
    <row r="13" spans="1:11" ht="15" customHeight="1" x14ac:dyDescent="0.2">
      <c r="A13" s="1520" t="s">
        <v>1473</v>
      </c>
      <c r="B13" s="1095">
        <v>2</v>
      </c>
      <c r="C13" s="1517">
        <f>[6]SALARIOS!$F$11+[6]SALARIOS!$G$11</f>
        <v>13090.8</v>
      </c>
      <c r="D13" s="1244">
        <f>SALARIOS!F11+SALARIOS!G11</f>
        <v>104726.39999999999</v>
      </c>
      <c r="E13" s="1498">
        <f t="shared" si="1"/>
        <v>47.647653937146664</v>
      </c>
      <c r="F13" s="1544" t="str">
        <f t="shared" si="0"/>
        <v>Producto: Malanga colocasia Palacio de la Revolución</v>
      </c>
      <c r="G13" s="1498"/>
    </row>
    <row r="14" spans="1:11" ht="15" customHeight="1" x14ac:dyDescent="0.2">
      <c r="A14" s="1518" t="s">
        <v>907</v>
      </c>
      <c r="B14" s="1095" t="s">
        <v>917</v>
      </c>
      <c r="C14" s="1519"/>
      <c r="D14" s="1244"/>
      <c r="E14" s="1498">
        <f t="shared" si="1"/>
        <v>0</v>
      </c>
      <c r="F14" s="1544" t="str">
        <f t="shared" si="0"/>
        <v>Producto: Malanga colocasia Palacio de la Revolución</v>
      </c>
      <c r="G14" s="1498"/>
    </row>
    <row r="15" spans="1:11" ht="15" customHeight="1" x14ac:dyDescent="0.2">
      <c r="A15" s="1518" t="s">
        <v>634</v>
      </c>
      <c r="B15" s="1095">
        <v>3</v>
      </c>
      <c r="C15" s="1244">
        <f>C16</f>
        <v>121.79</v>
      </c>
      <c r="D15" s="1244">
        <f>D16</f>
        <v>2000</v>
      </c>
      <c r="E15" s="1498">
        <f t="shared" si="1"/>
        <v>0.90994541848371879</v>
      </c>
      <c r="F15" s="1544" t="str">
        <f t="shared" si="0"/>
        <v>Producto: Malanga colocasia Palacio de la Revolución</v>
      </c>
      <c r="G15" s="1498"/>
      <c r="H15" s="1498"/>
    </row>
    <row r="16" spans="1:11" ht="15" customHeight="1" x14ac:dyDescent="0.2">
      <c r="A16" s="1518" t="s">
        <v>1474</v>
      </c>
      <c r="B16" s="1095">
        <v>3.1</v>
      </c>
      <c r="C16" s="1244">
        <v>121.79</v>
      </c>
      <c r="D16" s="1244">
        <v>2000</v>
      </c>
      <c r="E16" s="1498">
        <f t="shared" si="1"/>
        <v>0.90994541848371879</v>
      </c>
      <c r="F16" s="1544" t="str">
        <f t="shared" si="0"/>
        <v>Producto: Malanga colocasia Palacio de la Revolución</v>
      </c>
      <c r="G16" s="1498"/>
      <c r="H16" s="1498"/>
    </row>
    <row r="17" spans="1:11" ht="15" customHeight="1" x14ac:dyDescent="0.2">
      <c r="A17" s="1518" t="s">
        <v>908</v>
      </c>
      <c r="B17" s="1095">
        <v>4</v>
      </c>
      <c r="C17" s="1519"/>
      <c r="D17" s="1244">
        <v>62345</v>
      </c>
      <c r="E17" s="1498">
        <f t="shared" si="1"/>
        <v>28.365273557683725</v>
      </c>
      <c r="F17" s="1544" t="str">
        <f t="shared" si="0"/>
        <v>Producto: Malanga colocasia Palacio de la Revolución</v>
      </c>
      <c r="G17" s="1498"/>
    </row>
    <row r="18" spans="1:11" ht="15" customHeight="1" x14ac:dyDescent="0.2">
      <c r="A18" s="1518" t="s">
        <v>45</v>
      </c>
      <c r="B18" s="1095">
        <v>4.0999999999999996</v>
      </c>
      <c r="C18" s="1519"/>
      <c r="D18" s="1244"/>
      <c r="E18" s="1498">
        <f t="shared" si="1"/>
        <v>0</v>
      </c>
      <c r="F18" s="1544" t="str">
        <f t="shared" si="0"/>
        <v>Producto: Malanga colocasia Palacio de la Revolución</v>
      </c>
      <c r="G18" s="1498"/>
    </row>
    <row r="19" spans="1:11" ht="15" customHeight="1" x14ac:dyDescent="0.2">
      <c r="A19" s="1518" t="s">
        <v>909</v>
      </c>
      <c r="B19" s="1095">
        <v>4.2</v>
      </c>
      <c r="C19" s="1519"/>
      <c r="D19" s="1244"/>
      <c r="E19" s="1498">
        <f t="shared" si="1"/>
        <v>0</v>
      </c>
      <c r="F19" s="1544" t="str">
        <f t="shared" si="0"/>
        <v>Producto: Malanga colocasia Palacio de la Revolución</v>
      </c>
      <c r="G19" s="1498"/>
    </row>
    <row r="20" spans="1:11" ht="15" customHeight="1" x14ac:dyDescent="0.2">
      <c r="A20" s="1518" t="s">
        <v>228</v>
      </c>
      <c r="B20" s="1095">
        <v>5</v>
      </c>
      <c r="C20" s="1244">
        <f>C21</f>
        <v>261.81599999999997</v>
      </c>
      <c r="D20" s="1244">
        <f>D21</f>
        <v>2094.5279999999998</v>
      </c>
      <c r="E20" s="1498">
        <f t="shared" si="1"/>
        <v>0.95295307874293322</v>
      </c>
      <c r="F20" s="1544" t="str">
        <f t="shared" si="0"/>
        <v>Producto: Malanga colocasia Palacio de la Revolución</v>
      </c>
      <c r="G20" s="1498"/>
    </row>
    <row r="21" spans="1:11" ht="15" customHeight="1" x14ac:dyDescent="0.2">
      <c r="A21" s="1518" t="s">
        <v>45</v>
      </c>
      <c r="B21" s="1095">
        <v>5.0999999999999996</v>
      </c>
      <c r="C21" s="1244">
        <f>C13*2%</f>
        <v>261.81599999999997</v>
      </c>
      <c r="D21" s="1244">
        <f>D13*2%</f>
        <v>2094.5279999999998</v>
      </c>
      <c r="E21" s="1498">
        <f t="shared" si="1"/>
        <v>0.95295307874293322</v>
      </c>
      <c r="F21" s="1544" t="str">
        <f t="shared" si="0"/>
        <v>Producto: Malanga colocasia Palacio de la Revolución</v>
      </c>
      <c r="G21" s="1498"/>
    </row>
    <row r="22" spans="1:11" ht="15" customHeight="1" x14ac:dyDescent="0.2">
      <c r="A22" s="1518" t="s">
        <v>909</v>
      </c>
      <c r="B22" s="1095">
        <v>5.2</v>
      </c>
      <c r="C22" s="1519"/>
      <c r="D22" s="1244"/>
      <c r="E22" s="1498">
        <f t="shared" si="1"/>
        <v>0</v>
      </c>
      <c r="F22" s="1544" t="str">
        <f t="shared" si="0"/>
        <v>Producto: Malanga colocasia Palacio de la Revolución</v>
      </c>
      <c r="G22" s="1498"/>
    </row>
    <row r="23" spans="1:11" ht="15" customHeight="1" x14ac:dyDescent="0.2">
      <c r="A23" s="1518" t="s">
        <v>635</v>
      </c>
      <c r="B23" s="1095">
        <v>6</v>
      </c>
      <c r="C23" s="1519"/>
      <c r="D23" s="1244">
        <f>D24+D25</f>
        <v>0</v>
      </c>
      <c r="E23" s="1498">
        <f t="shared" si="1"/>
        <v>0</v>
      </c>
      <c r="F23" s="1544" t="str">
        <f t="shared" si="0"/>
        <v>Producto: Malanga colocasia Palacio de la Revolución</v>
      </c>
      <c r="G23" s="1498"/>
      <c r="H23" s="1498"/>
    </row>
    <row r="24" spans="1:11" ht="15" customHeight="1" x14ac:dyDescent="0.2">
      <c r="A24" s="1518" t="s">
        <v>45</v>
      </c>
      <c r="B24" s="1095">
        <v>6.1</v>
      </c>
      <c r="C24" s="1519"/>
      <c r="D24" s="1244"/>
      <c r="E24" s="1498">
        <f t="shared" si="1"/>
        <v>0</v>
      </c>
      <c r="F24" s="1544" t="str">
        <f t="shared" si="0"/>
        <v>Producto: Malanga colocasia Palacio de la Revolución</v>
      </c>
      <c r="G24" s="1498"/>
    </row>
    <row r="25" spans="1:11" ht="15" customHeight="1" x14ac:dyDescent="0.2">
      <c r="A25" s="1518" t="s">
        <v>909</v>
      </c>
      <c r="B25" s="1095">
        <v>6.2</v>
      </c>
      <c r="C25" s="1519"/>
      <c r="D25" s="1244"/>
      <c r="E25" s="1498">
        <f t="shared" si="1"/>
        <v>0</v>
      </c>
      <c r="F25" s="1544" t="str">
        <f t="shared" si="0"/>
        <v>Producto: Malanga colocasia Palacio de la Revolución</v>
      </c>
      <c r="G25" s="1498"/>
    </row>
    <row r="26" spans="1:11" ht="15" customHeight="1" x14ac:dyDescent="0.2">
      <c r="A26" s="1518" t="s">
        <v>1375</v>
      </c>
      <c r="B26" s="1095">
        <v>7</v>
      </c>
      <c r="C26" s="1244">
        <f>C8+C13+C15+C17+C20</f>
        <v>23656.835999999996</v>
      </c>
      <c r="D26" s="1244">
        <f>D8+D13+D15+D17+D20</f>
        <v>198392.128</v>
      </c>
      <c r="E26" s="1498">
        <f t="shared" si="1"/>
        <v>90.263003968417749</v>
      </c>
      <c r="F26" s="1544" t="str">
        <f t="shared" si="0"/>
        <v>Producto: Malanga colocasia Palacio de la Revolución</v>
      </c>
      <c r="G26" s="1498"/>
    </row>
    <row r="27" spans="1:11" ht="15" customHeight="1" x14ac:dyDescent="0.2">
      <c r="A27" s="1518" t="s">
        <v>910</v>
      </c>
      <c r="B27" s="1095">
        <v>8</v>
      </c>
      <c r="C27" s="1519"/>
      <c r="D27" s="1521">
        <f>DATOS!H21</f>
        <v>0</v>
      </c>
      <c r="E27" s="1498">
        <f t="shared" si="1"/>
        <v>0</v>
      </c>
      <c r="F27" s="1544" t="str">
        <f t="shared" si="0"/>
        <v>Producto: Malanga colocasia Palacio de la Revolución</v>
      </c>
    </row>
    <row r="28" spans="1:11" ht="15" customHeight="1" x14ac:dyDescent="0.2">
      <c r="A28" s="1516" t="s">
        <v>911</v>
      </c>
      <c r="B28" s="1095">
        <v>9</v>
      </c>
      <c r="C28" s="1519"/>
      <c r="D28" s="1521"/>
      <c r="E28" s="1498"/>
      <c r="F28" s="1544" t="str">
        <f t="shared" si="0"/>
        <v>Producto: Malanga colocasia Palacio de la Revolución</v>
      </c>
    </row>
    <row r="29" spans="1:11" ht="15" customHeight="1" x14ac:dyDescent="0.2">
      <c r="A29" s="1518" t="s">
        <v>913</v>
      </c>
      <c r="B29" s="1095">
        <v>10</v>
      </c>
      <c r="C29" s="1244">
        <f>(C13+C18+C21)*12.5%</f>
        <v>1669.077</v>
      </c>
      <c r="D29" s="1244">
        <f>(D13+D18+D21)*12.5%</f>
        <v>13352.616</v>
      </c>
      <c r="E29" s="1498">
        <f t="shared" si="1"/>
        <v>6.0750758769862001</v>
      </c>
      <c r="F29" s="1544" t="str">
        <f t="shared" si="0"/>
        <v>Producto: Malanga colocasia Palacio de la Revolución</v>
      </c>
    </row>
    <row r="30" spans="1:11" ht="15" customHeight="1" x14ac:dyDescent="0.2">
      <c r="A30" s="1516" t="s">
        <v>912</v>
      </c>
      <c r="B30" s="1095">
        <v>11</v>
      </c>
      <c r="C30" s="1244">
        <f>(C13+C18+C21)*1.5%</f>
        <v>200.28923999999998</v>
      </c>
      <c r="D30" s="1244">
        <f>(D13+D18+D21)*1.5%</f>
        <v>1602.3139199999998</v>
      </c>
      <c r="E30" s="1498">
        <f t="shared" si="1"/>
        <v>0.72900910523834395</v>
      </c>
      <c r="F30" s="1544" t="str">
        <f t="shared" si="0"/>
        <v>Producto: Malanga colocasia Palacio de la Revolución</v>
      </c>
    </row>
    <row r="31" spans="1:11" ht="15" customHeight="1" x14ac:dyDescent="0.2">
      <c r="A31" s="1518" t="s">
        <v>1475</v>
      </c>
      <c r="B31" s="1095">
        <v>12</v>
      </c>
      <c r="C31" s="1519"/>
      <c r="D31" s="1244"/>
      <c r="E31" s="1498">
        <f t="shared" si="1"/>
        <v>0</v>
      </c>
      <c r="F31" s="1544" t="str">
        <f t="shared" si="0"/>
        <v>Producto: Malanga colocasia Palacio de la Revolución</v>
      </c>
    </row>
    <row r="32" spans="1:11" ht="15" customHeight="1" x14ac:dyDescent="0.2">
      <c r="A32" s="1516" t="s">
        <v>640</v>
      </c>
      <c r="B32" s="1095">
        <v>13</v>
      </c>
      <c r="C32" s="1244">
        <f>(150*21.74*D4)*5%</f>
        <v>1630.5</v>
      </c>
      <c r="D32" s="1244">
        <f>(DATOS!P7*'FICHA DE COSTO'!D4)*5%</f>
        <v>6446.3450000000012</v>
      </c>
      <c r="E32" s="1498">
        <f t="shared" si="1"/>
        <v>2.9329110493577146</v>
      </c>
      <c r="F32" s="1544" t="str">
        <f t="shared" si="0"/>
        <v>Producto: Malanga colocasia Palacio de la Revolución</v>
      </c>
      <c r="G32" s="1098"/>
      <c r="H32" s="1098"/>
      <c r="I32" s="1098"/>
      <c r="J32" s="1098"/>
      <c r="K32" s="1098"/>
    </row>
    <row r="33" spans="1:11" ht="15" customHeight="1" x14ac:dyDescent="0.2">
      <c r="A33" s="1516" t="s">
        <v>914</v>
      </c>
      <c r="B33" s="1095">
        <v>14</v>
      </c>
      <c r="C33" s="1519"/>
      <c r="D33" s="1244"/>
      <c r="E33" s="1498">
        <f t="shared" si="1"/>
        <v>0</v>
      </c>
      <c r="F33" s="1544" t="str">
        <f t="shared" si="0"/>
        <v>Producto: Malanga colocasia Palacio de la Revolución</v>
      </c>
      <c r="G33" s="1098"/>
      <c r="H33" s="1098"/>
      <c r="I33" s="1098"/>
      <c r="J33" s="1098"/>
      <c r="K33" s="1098"/>
    </row>
    <row r="34" spans="1:11" ht="15" customHeight="1" x14ac:dyDescent="0.2">
      <c r="A34" s="1516" t="s">
        <v>915</v>
      </c>
      <c r="B34" s="1095">
        <v>15</v>
      </c>
      <c r="C34" s="1519"/>
      <c r="D34" s="1244"/>
      <c r="E34" s="1498">
        <f t="shared" si="1"/>
        <v>0</v>
      </c>
      <c r="F34" s="1544" t="str">
        <f t="shared" si="0"/>
        <v>Producto: Malanga colocasia Palacio de la Revolución</v>
      </c>
      <c r="G34" s="1098"/>
      <c r="H34" s="1098"/>
      <c r="I34" s="1098"/>
      <c r="J34" s="1098"/>
      <c r="K34" s="1098"/>
    </row>
    <row r="35" spans="1:11" ht="15" customHeight="1" x14ac:dyDescent="0.2">
      <c r="A35" s="1516" t="s">
        <v>916</v>
      </c>
      <c r="B35" s="1095">
        <v>16</v>
      </c>
      <c r="C35" s="1519"/>
      <c r="D35" s="1244"/>
      <c r="E35" s="1498">
        <f t="shared" si="1"/>
        <v>0</v>
      </c>
      <c r="F35" s="1544" t="str">
        <f t="shared" si="0"/>
        <v>Producto: Malanga colocasia Palacio de la Revolución</v>
      </c>
      <c r="G35" s="1098"/>
      <c r="H35" s="1098"/>
      <c r="I35" s="1098"/>
      <c r="J35" s="1098"/>
      <c r="K35" s="1098"/>
    </row>
    <row r="36" spans="1:11" ht="15" customHeight="1" x14ac:dyDescent="0.2">
      <c r="A36" s="1516" t="s">
        <v>1376</v>
      </c>
      <c r="B36" s="1095">
        <v>17</v>
      </c>
      <c r="C36" s="1244">
        <f>C26+C27+C28+C29+C30+C31+C32+C33+C34+C35</f>
        <v>27156.702239999995</v>
      </c>
      <c r="D36" s="1244">
        <f>D26+D27+D28+D29+D30+D31+D32+D33+D34+D35</f>
        <v>219793.40291999999</v>
      </c>
      <c r="E36" s="1498">
        <f t="shared" si="1"/>
        <v>100.00000000000001</v>
      </c>
      <c r="F36" s="1544" t="str">
        <f t="shared" si="0"/>
        <v>Producto: Malanga colocasia Palacio de la Revolución</v>
      </c>
      <c r="G36" s="1098"/>
      <c r="H36" s="1098"/>
      <c r="I36" s="1098"/>
      <c r="J36" s="1098"/>
      <c r="K36" s="1098"/>
    </row>
    <row r="37" spans="1:11" ht="15" customHeight="1" x14ac:dyDescent="0.2">
      <c r="A37" s="1516" t="s">
        <v>17</v>
      </c>
      <c r="B37" s="1095">
        <v>18</v>
      </c>
      <c r="C37" s="1244">
        <f>C36+DATOS!R21</f>
        <v>27156.702239999995</v>
      </c>
      <c r="D37" s="1244">
        <f>D36+DATOS!R21</f>
        <v>219793.40291999999</v>
      </c>
      <c r="E37" s="1498">
        <f t="shared" si="1"/>
        <v>100.00000000000001</v>
      </c>
      <c r="F37" s="1544" t="str">
        <f t="shared" si="0"/>
        <v>Producto: Malanga colocasia Palacio de la Revolución</v>
      </c>
      <c r="G37" s="1098"/>
      <c r="H37" s="1098"/>
      <c r="I37" s="1098"/>
      <c r="J37" s="1098"/>
      <c r="K37" s="1098"/>
    </row>
    <row r="38" spans="1:11" ht="15" customHeight="1" x14ac:dyDescent="0.2">
      <c r="A38" s="1516" t="s">
        <v>18</v>
      </c>
      <c r="B38" s="1095">
        <v>19</v>
      </c>
      <c r="C38" s="1244">
        <f>C37/D4</f>
        <v>2715.6702239999995</v>
      </c>
      <c r="D38" s="1244">
        <f>D37/D4</f>
        <v>21979.340292000001</v>
      </c>
      <c r="E38" s="1498"/>
      <c r="F38" s="1544" t="str">
        <f t="shared" si="0"/>
        <v>Producto: Malanga colocasia Palacio de la Revolución</v>
      </c>
      <c r="G38" s="1098"/>
      <c r="H38" s="1098"/>
      <c r="I38" s="1098"/>
      <c r="J38" s="1098"/>
      <c r="K38" s="1098"/>
    </row>
    <row r="39" spans="1:11" s="1493" customFormat="1" ht="15" customHeight="1" x14ac:dyDescent="0.25">
      <c r="A39" s="1012" t="s">
        <v>2080</v>
      </c>
      <c r="B39" s="1013">
        <v>20</v>
      </c>
      <c r="C39" s="1537">
        <f>C38/21.74</f>
        <v>124.91583367065316</v>
      </c>
      <c r="D39" s="1537">
        <f>D38/21.74*1.3</f>
        <v>1314.3119769825209</v>
      </c>
      <c r="E39" s="1683"/>
      <c r="F39" s="1544" t="str">
        <f t="shared" si="0"/>
        <v>Producto: Malanga colocasia Palacio de la Revolución</v>
      </c>
    </row>
    <row r="40" spans="1:11" ht="15" customHeight="1" x14ac:dyDescent="0.2">
      <c r="A40" s="1499" t="s">
        <v>249</v>
      </c>
      <c r="B40" s="1480"/>
      <c r="C40" s="1522"/>
      <c r="D40" s="1523"/>
      <c r="E40" s="1498"/>
      <c r="F40" s="1544" t="str">
        <f t="shared" si="0"/>
        <v>Producto: Malanga colocasia Palacio de la Revolución</v>
      </c>
    </row>
    <row r="41" spans="1:11" ht="15" customHeight="1" thickBot="1" x14ac:dyDescent="0.25">
      <c r="A41" s="1524"/>
      <c r="B41" s="1525"/>
      <c r="C41" s="1526"/>
      <c r="D41" s="1527"/>
      <c r="E41" s="1498"/>
      <c r="F41" s="1544" t="str">
        <f t="shared" si="0"/>
        <v>Producto: Malanga colocasia Palacio de la Revolución</v>
      </c>
    </row>
    <row r="42" spans="1:11" ht="15" customHeight="1" x14ac:dyDescent="0.2">
      <c r="A42" s="1528" t="s">
        <v>1374</v>
      </c>
      <c r="B42" s="1529"/>
      <c r="C42" s="1530"/>
      <c r="D42" s="1531"/>
      <c r="E42" s="1684"/>
      <c r="F42" s="1544" t="str">
        <f t="shared" si="0"/>
        <v>Producto: Malanga colocasia Palacio de la Revolución</v>
      </c>
    </row>
    <row r="43" spans="1:11" ht="15" customHeight="1" thickBot="1" x14ac:dyDescent="0.25">
      <c r="A43" s="1794"/>
      <c r="B43" s="1795"/>
      <c r="C43" s="1795"/>
      <c r="D43" s="1796"/>
      <c r="E43" s="1628"/>
      <c r="F43" s="1544" t="str">
        <f t="shared" si="0"/>
        <v>Producto: Malanga colocasia Palacio de la Revolución</v>
      </c>
    </row>
    <row r="44" spans="1:11" s="1493" customFormat="1" ht="15" customHeight="1" x14ac:dyDescent="0.25">
      <c r="A44" s="1788" t="s">
        <v>2093</v>
      </c>
      <c r="B44" s="1789"/>
      <c r="C44" s="1789"/>
      <c r="D44" s="1790"/>
      <c r="E44" s="1628"/>
      <c r="F44" s="1545" t="str">
        <f t="shared" ref="F44:F85" si="2">A$46</f>
        <v>Producto: Malanga xanthosoma Palacio de la Revolución</v>
      </c>
      <c r="G44" s="1491"/>
      <c r="H44" s="1491"/>
      <c r="I44" s="1492"/>
      <c r="J44" s="1492"/>
      <c r="K44" s="1492"/>
    </row>
    <row r="45" spans="1:11" s="1493" customFormat="1" ht="15" customHeight="1" x14ac:dyDescent="0.25">
      <c r="A45" s="1791" t="s">
        <v>1852</v>
      </c>
      <c r="B45" s="1792"/>
      <c r="C45" s="1792"/>
      <c r="D45" s="1793"/>
      <c r="E45" s="1628"/>
      <c r="F45" s="1545" t="str">
        <f t="shared" si="2"/>
        <v>Producto: Malanga xanthosoma Palacio de la Revolución</v>
      </c>
      <c r="G45" s="1491"/>
      <c r="H45" s="1491"/>
      <c r="I45" s="1492"/>
      <c r="J45" s="1492"/>
      <c r="K45" s="1492"/>
    </row>
    <row r="46" spans="1:11" ht="15" customHeight="1" x14ac:dyDescent="0.2">
      <c r="A46" s="1499" t="s">
        <v>2088</v>
      </c>
      <c r="B46" s="1784" t="s">
        <v>278</v>
      </c>
      <c r="C46" s="1785"/>
      <c r="D46" s="1618">
        <v>8</v>
      </c>
      <c r="E46" s="1680"/>
      <c r="F46" s="1544" t="str">
        <f t="shared" si="2"/>
        <v>Producto: Malanga xanthosoma Palacio de la Revolución</v>
      </c>
    </row>
    <row r="47" spans="1:11" s="1501" customFormat="1" ht="15" customHeight="1" thickBot="1" x14ac:dyDescent="0.25">
      <c r="A47" s="1500" t="s">
        <v>637</v>
      </c>
      <c r="C47" s="1502"/>
      <c r="D47" s="1503"/>
      <c r="E47" s="1681"/>
      <c r="F47" s="1544" t="str">
        <f t="shared" si="2"/>
        <v>Producto: Malanga xanthosoma Palacio de la Revolución</v>
      </c>
      <c r="G47" s="1504"/>
      <c r="I47" s="1505"/>
      <c r="J47" s="1505"/>
      <c r="K47" s="1505"/>
    </row>
    <row r="48" spans="1:11" s="1511" customFormat="1" ht="32.25" customHeight="1" thickBot="1" x14ac:dyDescent="0.25">
      <c r="A48" s="1532" t="s">
        <v>1368</v>
      </c>
      <c r="B48" s="1532" t="s">
        <v>242</v>
      </c>
      <c r="C48" s="1533" t="s">
        <v>1976</v>
      </c>
      <c r="D48" s="1532" t="s">
        <v>1369</v>
      </c>
      <c r="E48" s="1682"/>
      <c r="F48" s="1544" t="str">
        <f t="shared" si="2"/>
        <v>Producto: Malanga xanthosoma Palacio de la Revolución</v>
      </c>
      <c r="G48" s="1509"/>
      <c r="H48" s="1509"/>
      <c r="I48" s="1510"/>
      <c r="J48" s="1510"/>
      <c r="K48" s="1510"/>
    </row>
    <row r="49" spans="1:9" ht="15" customHeight="1" x14ac:dyDescent="0.2">
      <c r="A49" s="1512">
        <v>1</v>
      </c>
      <c r="B49" s="1513">
        <v>2</v>
      </c>
      <c r="C49" s="1514">
        <v>3</v>
      </c>
      <c r="D49" s="1515">
        <v>4</v>
      </c>
      <c r="E49" s="1679"/>
      <c r="F49" s="1544" t="str">
        <f t="shared" si="2"/>
        <v>Producto: Malanga xanthosoma Palacio de la Revolución</v>
      </c>
      <c r="G49" s="1498"/>
      <c r="H49" s="1498"/>
    </row>
    <row r="50" spans="1:9" ht="15" customHeight="1" x14ac:dyDescent="0.2">
      <c r="A50" s="1516" t="s">
        <v>905</v>
      </c>
      <c r="B50" s="1095">
        <v>1</v>
      </c>
      <c r="C50" s="1244">
        <f>C51+C52+C53+C54</f>
        <v>11829.329999999998</v>
      </c>
      <c r="D50" s="1244">
        <f>D51+D52+D53+D54</f>
        <v>18142</v>
      </c>
      <c r="E50" s="1498">
        <f>D50/D$79%</f>
        <v>7.7345187040065486</v>
      </c>
      <c r="F50" s="1544" t="str">
        <f t="shared" si="2"/>
        <v>Producto: Malanga xanthosoma Palacio de la Revolución</v>
      </c>
      <c r="G50" s="1498"/>
      <c r="H50" s="1498"/>
      <c r="I50" s="1498"/>
    </row>
    <row r="51" spans="1:9" ht="15" customHeight="1" x14ac:dyDescent="0.2">
      <c r="A51" s="1516" t="s">
        <v>906</v>
      </c>
      <c r="B51" s="1095">
        <v>1.1000000000000001</v>
      </c>
      <c r="C51" s="1517">
        <f>IM!E92</f>
        <v>11247.55</v>
      </c>
      <c r="D51" s="1244">
        <f>IM!H92</f>
        <v>8238</v>
      </c>
      <c r="E51" s="1498">
        <f t="shared" ref="E51:E79" si="3">D51/D$79%</f>
        <v>3.5121246325435975</v>
      </c>
      <c r="F51" s="1544" t="str">
        <f t="shared" si="2"/>
        <v>Producto: Malanga xanthosoma Palacio de la Revolución</v>
      </c>
      <c r="G51" s="1498"/>
      <c r="H51" s="1498"/>
      <c r="I51" s="1498"/>
    </row>
    <row r="52" spans="1:9" ht="15" customHeight="1" x14ac:dyDescent="0.2">
      <c r="A52" s="1518" t="s">
        <v>909</v>
      </c>
      <c r="B52" s="1095">
        <v>1.2</v>
      </c>
      <c r="C52" s="1519"/>
      <c r="D52" s="1244">
        <f>IM!H95</f>
        <v>3058</v>
      </c>
      <c r="E52" s="1498">
        <f t="shared" si="3"/>
        <v>1.3037238560716584</v>
      </c>
      <c r="F52" s="1544" t="str">
        <f t="shared" si="2"/>
        <v>Producto: Malanga xanthosoma Palacio de la Revolución</v>
      </c>
    </row>
    <row r="53" spans="1:9" ht="15" customHeight="1" x14ac:dyDescent="0.2">
      <c r="A53" s="1516" t="s">
        <v>1472</v>
      </c>
      <c r="B53" s="1095">
        <v>1.3</v>
      </c>
      <c r="C53" s="1517">
        <f>IM!E96</f>
        <v>342.38000000000005</v>
      </c>
      <c r="D53" s="1244">
        <f>IM!H96</f>
        <v>5550</v>
      </c>
      <c r="E53" s="1498">
        <f t="shared" si="3"/>
        <v>2.3661436890770777</v>
      </c>
      <c r="F53" s="1544" t="str">
        <f t="shared" si="2"/>
        <v>Producto: Malanga xanthosoma Palacio de la Revolución</v>
      </c>
    </row>
    <row r="54" spans="1:9" ht="15" customHeight="1" x14ac:dyDescent="0.2">
      <c r="A54" s="1516" t="s">
        <v>283</v>
      </c>
      <c r="B54" s="1095">
        <v>1.4</v>
      </c>
      <c r="C54" s="1517">
        <f>IM!E94</f>
        <v>239.4</v>
      </c>
      <c r="D54" s="1244">
        <f>IM!H94</f>
        <v>1296</v>
      </c>
      <c r="E54" s="1498">
        <f t="shared" si="3"/>
        <v>0.55252652631421495</v>
      </c>
      <c r="F54" s="1544" t="str">
        <f t="shared" si="2"/>
        <v>Producto: Malanga xanthosoma Palacio de la Revolución</v>
      </c>
      <c r="G54" s="1498"/>
      <c r="H54" s="1498"/>
    </row>
    <row r="55" spans="1:9" ht="15" customHeight="1" x14ac:dyDescent="0.2">
      <c r="A55" s="1520" t="s">
        <v>1473</v>
      </c>
      <c r="B55" s="1095">
        <v>2</v>
      </c>
      <c r="C55" s="1517">
        <f>[6]SALARIOS!$F$26+[6]SALARIOS!$G$26</f>
        <v>19325.272871298435</v>
      </c>
      <c r="D55" s="1244">
        <f>SALARIOS!F26+SALARIOS!G26</f>
        <v>122180.8</v>
      </c>
      <c r="E55" s="1498">
        <f t="shared" si="3"/>
        <v>52.089608801151101</v>
      </c>
      <c r="F55" s="1544" t="str">
        <f t="shared" si="2"/>
        <v>Producto: Malanga xanthosoma Palacio de la Revolución</v>
      </c>
    </row>
    <row r="56" spans="1:9" ht="15" customHeight="1" x14ac:dyDescent="0.2">
      <c r="A56" s="1518" t="s">
        <v>907</v>
      </c>
      <c r="B56" s="1095" t="s">
        <v>917</v>
      </c>
      <c r="C56" s="1519"/>
      <c r="D56" s="1244"/>
      <c r="E56" s="1498">
        <f t="shared" si="3"/>
        <v>0</v>
      </c>
      <c r="F56" s="1544" t="str">
        <f t="shared" si="2"/>
        <v>Producto: Malanga xanthosoma Palacio de la Revolución</v>
      </c>
    </row>
    <row r="57" spans="1:9" ht="15" customHeight="1" x14ac:dyDescent="0.2">
      <c r="A57" s="1518" t="s">
        <v>634</v>
      </c>
      <c r="B57" s="1095">
        <v>3</v>
      </c>
      <c r="C57" s="1244">
        <f>C58</f>
        <v>121.79</v>
      </c>
      <c r="D57" s="1244">
        <v>2000</v>
      </c>
      <c r="E57" s="1498">
        <f t="shared" si="3"/>
        <v>0.8526643924602082</v>
      </c>
      <c r="F57" s="1544" t="str">
        <f t="shared" si="2"/>
        <v>Producto: Malanga xanthosoma Palacio de la Revolución</v>
      </c>
      <c r="G57" s="1498"/>
      <c r="H57" s="1498"/>
    </row>
    <row r="58" spans="1:9" ht="15" customHeight="1" x14ac:dyDescent="0.2">
      <c r="A58" s="1518" t="s">
        <v>1474</v>
      </c>
      <c r="B58" s="1095">
        <v>3.1</v>
      </c>
      <c r="C58" s="1244">
        <v>121.79</v>
      </c>
      <c r="D58" s="1244">
        <v>2000</v>
      </c>
      <c r="E58" s="1498">
        <f t="shared" si="3"/>
        <v>0.8526643924602082</v>
      </c>
      <c r="F58" s="1544" t="str">
        <f t="shared" si="2"/>
        <v>Producto: Malanga xanthosoma Palacio de la Revolución</v>
      </c>
      <c r="G58" s="1498"/>
      <c r="H58" s="1498"/>
    </row>
    <row r="59" spans="1:9" ht="15" customHeight="1" x14ac:dyDescent="0.2">
      <c r="A59" s="1518" t="s">
        <v>908</v>
      </c>
      <c r="B59" s="1095">
        <v>4</v>
      </c>
      <c r="C59" s="1244">
        <f>C60</f>
        <v>579.75818613895308</v>
      </c>
      <c r="D59" s="1244">
        <v>62345</v>
      </c>
      <c r="E59" s="1498">
        <f t="shared" si="3"/>
        <v>26.579680773965841</v>
      </c>
      <c r="F59" s="1544" t="str">
        <f t="shared" si="2"/>
        <v>Producto: Malanga xanthosoma Palacio de la Revolución</v>
      </c>
    </row>
    <row r="60" spans="1:9" ht="15" customHeight="1" x14ac:dyDescent="0.2">
      <c r="A60" s="1518" t="s">
        <v>45</v>
      </c>
      <c r="B60" s="1095">
        <v>4.0999999999999996</v>
      </c>
      <c r="C60" s="1244">
        <f>C55*3%</f>
        <v>579.75818613895308</v>
      </c>
      <c r="D60" s="1244"/>
      <c r="E60" s="1498">
        <f t="shared" si="3"/>
        <v>0</v>
      </c>
      <c r="F60" s="1544" t="str">
        <f t="shared" si="2"/>
        <v>Producto: Malanga xanthosoma Palacio de la Revolución</v>
      </c>
    </row>
    <row r="61" spans="1:9" ht="15" customHeight="1" x14ac:dyDescent="0.2">
      <c r="A61" s="1518" t="s">
        <v>909</v>
      </c>
      <c r="B61" s="1095">
        <v>4.2</v>
      </c>
      <c r="C61" s="1519"/>
      <c r="D61" s="1244"/>
      <c r="E61" s="1498">
        <f t="shared" si="3"/>
        <v>0</v>
      </c>
      <c r="F61" s="1544" t="str">
        <f t="shared" si="2"/>
        <v>Producto: Malanga xanthosoma Palacio de la Revolución</v>
      </c>
    </row>
    <row r="62" spans="1:9" ht="15" customHeight="1" x14ac:dyDescent="0.2">
      <c r="A62" s="1518" t="s">
        <v>228</v>
      </c>
      <c r="B62" s="1095">
        <v>5</v>
      </c>
      <c r="C62" s="1244">
        <f>C63</f>
        <v>386.5054574259687</v>
      </c>
      <c r="D62" s="1244">
        <f>D63</f>
        <v>2443.616</v>
      </c>
      <c r="E62" s="1498">
        <f t="shared" si="3"/>
        <v>1.041792176023022</v>
      </c>
      <c r="F62" s="1544" t="str">
        <f t="shared" si="2"/>
        <v>Producto: Malanga xanthosoma Palacio de la Revolución</v>
      </c>
    </row>
    <row r="63" spans="1:9" ht="15" customHeight="1" x14ac:dyDescent="0.2">
      <c r="A63" s="1518" t="s">
        <v>45</v>
      </c>
      <c r="B63" s="1095">
        <v>5.0999999999999996</v>
      </c>
      <c r="C63" s="1244">
        <f>C55*2%</f>
        <v>386.5054574259687</v>
      </c>
      <c r="D63" s="1244">
        <f>D55*2%</f>
        <v>2443.616</v>
      </c>
      <c r="E63" s="1498">
        <f t="shared" si="3"/>
        <v>1.041792176023022</v>
      </c>
      <c r="F63" s="1544" t="str">
        <f t="shared" si="2"/>
        <v>Producto: Malanga xanthosoma Palacio de la Revolución</v>
      </c>
    </row>
    <row r="64" spans="1:9" ht="15" customHeight="1" x14ac:dyDescent="0.2">
      <c r="A64" s="1518" t="s">
        <v>909</v>
      </c>
      <c r="B64" s="1095">
        <v>5.2</v>
      </c>
      <c r="C64" s="1519"/>
      <c r="D64" s="1244"/>
      <c r="E64" s="1498">
        <f t="shared" si="3"/>
        <v>0</v>
      </c>
      <c r="F64" s="1544" t="str">
        <f t="shared" si="2"/>
        <v>Producto: Malanga xanthosoma Palacio de la Revolución</v>
      </c>
    </row>
    <row r="65" spans="1:11" ht="15" customHeight="1" x14ac:dyDescent="0.2">
      <c r="A65" s="1518" t="s">
        <v>635</v>
      </c>
      <c r="B65" s="1095">
        <v>6</v>
      </c>
      <c r="C65" s="1519"/>
      <c r="D65" s="1244">
        <f>D66+D67</f>
        <v>0</v>
      </c>
      <c r="E65" s="1498">
        <f t="shared" si="3"/>
        <v>0</v>
      </c>
      <c r="F65" s="1544" t="str">
        <f t="shared" si="2"/>
        <v>Producto: Malanga xanthosoma Palacio de la Revolución</v>
      </c>
      <c r="G65" s="1498"/>
      <c r="H65" s="1498"/>
    </row>
    <row r="66" spans="1:11" ht="15" customHeight="1" x14ac:dyDescent="0.2">
      <c r="A66" s="1518" t="s">
        <v>45</v>
      </c>
      <c r="B66" s="1095">
        <v>6.1</v>
      </c>
      <c r="C66" s="1519"/>
      <c r="D66" s="1244"/>
      <c r="E66" s="1498">
        <f t="shared" si="3"/>
        <v>0</v>
      </c>
      <c r="F66" s="1544" t="str">
        <f t="shared" si="2"/>
        <v>Producto: Malanga xanthosoma Palacio de la Revolución</v>
      </c>
    </row>
    <row r="67" spans="1:11" ht="15" customHeight="1" x14ac:dyDescent="0.2">
      <c r="A67" s="1518" t="s">
        <v>909</v>
      </c>
      <c r="B67" s="1095">
        <v>6.2</v>
      </c>
      <c r="C67" s="1519"/>
      <c r="D67" s="1244"/>
      <c r="E67" s="1498">
        <f t="shared" si="3"/>
        <v>0</v>
      </c>
      <c r="F67" s="1544" t="str">
        <f t="shared" si="2"/>
        <v>Producto: Malanga xanthosoma Palacio de la Revolución</v>
      </c>
    </row>
    <row r="68" spans="1:11" ht="15" customHeight="1" x14ac:dyDescent="0.2">
      <c r="A68" s="1518" t="s">
        <v>1375</v>
      </c>
      <c r="B68" s="1095">
        <v>7</v>
      </c>
      <c r="C68" s="1244">
        <f>C50+C55+C57+C59+C62</f>
        <v>32242.656514863356</v>
      </c>
      <c r="D68" s="1244">
        <f>D50+D55+D57+D59+D62</f>
        <v>207111.416</v>
      </c>
      <c r="E68" s="1498">
        <f t="shared" si="3"/>
        <v>88.298264847606717</v>
      </c>
      <c r="F68" s="1544" t="str">
        <f t="shared" si="2"/>
        <v>Producto: Malanga xanthosoma Palacio de la Revolución</v>
      </c>
    </row>
    <row r="69" spans="1:11" ht="15" customHeight="1" x14ac:dyDescent="0.2">
      <c r="A69" s="1518" t="s">
        <v>910</v>
      </c>
      <c r="B69" s="1095">
        <v>8</v>
      </c>
      <c r="C69" s="1519"/>
      <c r="D69" s="1521">
        <f>DATOS!H22</f>
        <v>0</v>
      </c>
      <c r="E69" s="1498">
        <f t="shared" si="3"/>
        <v>0</v>
      </c>
      <c r="F69" s="1544" t="str">
        <f t="shared" si="2"/>
        <v>Producto: Malanga xanthosoma Palacio de la Revolución</v>
      </c>
    </row>
    <row r="70" spans="1:11" ht="15" customHeight="1" x14ac:dyDescent="0.2">
      <c r="A70" s="1516" t="s">
        <v>911</v>
      </c>
      <c r="B70" s="1095">
        <v>9</v>
      </c>
      <c r="C70" s="1519"/>
      <c r="D70" s="1521"/>
      <c r="E70" s="1498">
        <f t="shared" si="3"/>
        <v>0</v>
      </c>
      <c r="F70" s="1544" t="str">
        <f t="shared" si="2"/>
        <v>Producto: Malanga xanthosoma Palacio de la Revolución</v>
      </c>
    </row>
    <row r="71" spans="1:11" ht="15" customHeight="1" x14ac:dyDescent="0.2">
      <c r="A71" s="1518" t="s">
        <v>913</v>
      </c>
      <c r="B71" s="1095">
        <v>10</v>
      </c>
      <c r="C71" s="1244">
        <f>(C55+C60+C63)*12.5%</f>
        <v>2536.4420643579197</v>
      </c>
      <c r="D71" s="1244">
        <f>(D55+D60+D63)*12.5%</f>
        <v>15578.052</v>
      </c>
      <c r="E71" s="1498">
        <f t="shared" si="3"/>
        <v>6.6414251221467655</v>
      </c>
      <c r="F71" s="1544" t="str">
        <f t="shared" si="2"/>
        <v>Producto: Malanga xanthosoma Palacio de la Revolución</v>
      </c>
    </row>
    <row r="72" spans="1:11" ht="15" customHeight="1" x14ac:dyDescent="0.2">
      <c r="A72" s="1516" t="s">
        <v>912</v>
      </c>
      <c r="B72" s="1095">
        <v>11</v>
      </c>
      <c r="C72" s="1244">
        <f>(C55+C60+C63)*1.5%</f>
        <v>304.37304772295033</v>
      </c>
      <c r="D72" s="1244">
        <f>(D55+D60+D63)*1.5%</f>
        <v>1869.3662399999998</v>
      </c>
      <c r="E72" s="1498">
        <f t="shared" si="3"/>
        <v>0.79697101465761178</v>
      </c>
      <c r="F72" s="1544" t="str">
        <f t="shared" si="2"/>
        <v>Producto: Malanga xanthosoma Palacio de la Revolución</v>
      </c>
    </row>
    <row r="73" spans="1:11" ht="15" customHeight="1" x14ac:dyDescent="0.2">
      <c r="A73" s="1518" t="s">
        <v>1475</v>
      </c>
      <c r="B73" s="1095">
        <v>12</v>
      </c>
      <c r="C73" s="1519"/>
      <c r="D73" s="1244"/>
      <c r="E73" s="1498">
        <f t="shared" si="3"/>
        <v>0</v>
      </c>
      <c r="F73" s="1544" t="str">
        <f t="shared" si="2"/>
        <v>Producto: Malanga xanthosoma Palacio de la Revolución</v>
      </c>
    </row>
    <row r="74" spans="1:11" ht="15" customHeight="1" x14ac:dyDescent="0.2">
      <c r="A74" s="1516" t="s">
        <v>640</v>
      </c>
      <c r="B74" s="1095">
        <v>13</v>
      </c>
      <c r="C74" s="1517">
        <f>(300*21.74*D46)*5%</f>
        <v>2608.7999999999997</v>
      </c>
      <c r="D74" s="1244">
        <v>10000.040000000001</v>
      </c>
      <c r="E74" s="1498">
        <f t="shared" si="3"/>
        <v>4.2633390155888904</v>
      </c>
      <c r="F74" s="1544" t="str">
        <f t="shared" si="2"/>
        <v>Producto: Malanga xanthosoma Palacio de la Revolución</v>
      </c>
      <c r="G74" s="1098"/>
      <c r="H74" s="1098"/>
      <c r="I74" s="1098"/>
      <c r="J74" s="1098"/>
      <c r="K74" s="1098"/>
    </row>
    <row r="75" spans="1:11" ht="15" customHeight="1" x14ac:dyDescent="0.2">
      <c r="A75" s="1516" t="s">
        <v>914</v>
      </c>
      <c r="B75" s="1095">
        <v>14</v>
      </c>
      <c r="C75" s="1519"/>
      <c r="D75" s="1244"/>
      <c r="E75" s="1498">
        <f t="shared" si="3"/>
        <v>0</v>
      </c>
      <c r="F75" s="1544" t="str">
        <f t="shared" si="2"/>
        <v>Producto: Malanga xanthosoma Palacio de la Revolución</v>
      </c>
      <c r="G75" s="1098"/>
      <c r="H75" s="1098"/>
      <c r="I75" s="1098"/>
      <c r="J75" s="1098"/>
      <c r="K75" s="1098"/>
    </row>
    <row r="76" spans="1:11" ht="15" customHeight="1" x14ac:dyDescent="0.2">
      <c r="A76" s="1516" t="s">
        <v>915</v>
      </c>
      <c r="B76" s="1095">
        <v>15</v>
      </c>
      <c r="C76" s="1519"/>
      <c r="D76" s="1244"/>
      <c r="E76" s="1498">
        <f t="shared" si="3"/>
        <v>0</v>
      </c>
      <c r="F76" s="1544" t="str">
        <f t="shared" si="2"/>
        <v>Producto: Malanga xanthosoma Palacio de la Revolución</v>
      </c>
      <c r="G76" s="1098"/>
      <c r="H76" s="1098"/>
      <c r="I76" s="1098"/>
      <c r="J76" s="1098"/>
      <c r="K76" s="1098"/>
    </row>
    <row r="77" spans="1:11" ht="15" customHeight="1" x14ac:dyDescent="0.2">
      <c r="A77" s="1516" t="s">
        <v>916</v>
      </c>
      <c r="B77" s="1095">
        <v>16</v>
      </c>
      <c r="C77" s="1519"/>
      <c r="D77" s="1244"/>
      <c r="E77" s="1498">
        <f t="shared" si="3"/>
        <v>0</v>
      </c>
      <c r="F77" s="1544" t="str">
        <f t="shared" si="2"/>
        <v>Producto: Malanga xanthosoma Palacio de la Revolución</v>
      </c>
      <c r="G77" s="1098"/>
      <c r="H77" s="1098"/>
      <c r="I77" s="1098"/>
      <c r="J77" s="1098"/>
      <c r="K77" s="1098"/>
    </row>
    <row r="78" spans="1:11" ht="15" customHeight="1" x14ac:dyDescent="0.2">
      <c r="A78" s="1516" t="s">
        <v>1376</v>
      </c>
      <c r="B78" s="1095">
        <v>17</v>
      </c>
      <c r="C78" s="1244">
        <f>C68+C69+C70+C71+C72+C73+C74+C75+C76+C77</f>
        <v>37692.271626944224</v>
      </c>
      <c r="D78" s="1244">
        <f>D68+D69+D70+D71+D72+D73+D74+D75+D76+D77</f>
        <v>234558.87424</v>
      </c>
      <c r="E78" s="1498">
        <f t="shared" si="3"/>
        <v>99.999999999999986</v>
      </c>
      <c r="F78" s="1544" t="str">
        <f t="shared" si="2"/>
        <v>Producto: Malanga xanthosoma Palacio de la Revolución</v>
      </c>
      <c r="G78" s="1098"/>
      <c r="H78" s="1098"/>
      <c r="I78" s="1098"/>
      <c r="J78" s="1098"/>
      <c r="K78" s="1098"/>
    </row>
    <row r="79" spans="1:11" ht="15" customHeight="1" x14ac:dyDescent="0.2">
      <c r="A79" s="1516" t="s">
        <v>17</v>
      </c>
      <c r="B79" s="1095">
        <v>18</v>
      </c>
      <c r="C79" s="1244">
        <f>C78</f>
        <v>37692.271626944224</v>
      </c>
      <c r="D79" s="1244">
        <f>D78</f>
        <v>234558.87424</v>
      </c>
      <c r="E79" s="1498">
        <f t="shared" si="3"/>
        <v>99.999999999999986</v>
      </c>
      <c r="F79" s="1544" t="str">
        <f t="shared" si="2"/>
        <v>Producto: Malanga xanthosoma Palacio de la Revolución</v>
      </c>
      <c r="G79" s="1098"/>
      <c r="H79" s="1098"/>
      <c r="I79" s="1098"/>
      <c r="J79" s="1098"/>
      <c r="K79" s="1098"/>
    </row>
    <row r="80" spans="1:11" ht="15" customHeight="1" x14ac:dyDescent="0.2">
      <c r="A80" s="1516" t="s">
        <v>18</v>
      </c>
      <c r="B80" s="1095">
        <v>19</v>
      </c>
      <c r="C80" s="1244">
        <f>C79/D46</f>
        <v>4711.5339533680281</v>
      </c>
      <c r="D80" s="1244">
        <f>D79/D46</f>
        <v>29319.859280000001</v>
      </c>
      <c r="E80" s="1498"/>
      <c r="F80" s="1544" t="str">
        <f t="shared" si="2"/>
        <v>Producto: Malanga xanthosoma Palacio de la Revolución</v>
      </c>
      <c r="G80" s="1098"/>
      <c r="H80" s="1098"/>
      <c r="I80" s="1098"/>
      <c r="J80" s="1098"/>
      <c r="K80" s="1098"/>
    </row>
    <row r="81" spans="1:11" s="1493" customFormat="1" ht="15" customHeight="1" x14ac:dyDescent="0.25">
      <c r="A81" s="1012" t="s">
        <v>2081</v>
      </c>
      <c r="B81" s="1013">
        <v>20</v>
      </c>
      <c r="C81" s="1537">
        <f>C80/21.74</f>
        <v>216.72189297921014</v>
      </c>
      <c r="D81" s="1537">
        <f>D80/21.74*1.3</f>
        <v>1753.2574546458145</v>
      </c>
      <c r="E81" s="1683"/>
      <c r="F81" s="1544" t="str">
        <f t="shared" si="2"/>
        <v>Producto: Malanga xanthosoma Palacio de la Revolución</v>
      </c>
    </row>
    <row r="82" spans="1:11" ht="15" customHeight="1" x14ac:dyDescent="0.2">
      <c r="A82" s="1499" t="s">
        <v>249</v>
      </c>
      <c r="B82" s="1480"/>
      <c r="C82" s="1522"/>
      <c r="D82" s="1523"/>
      <c r="E82" s="1498"/>
      <c r="F82" s="1544" t="str">
        <f t="shared" si="2"/>
        <v>Producto: Malanga xanthosoma Palacio de la Revolución</v>
      </c>
    </row>
    <row r="83" spans="1:11" ht="15" customHeight="1" thickBot="1" x14ac:dyDescent="0.25">
      <c r="A83" s="1524"/>
      <c r="B83" s="1525"/>
      <c r="C83" s="1526"/>
      <c r="D83" s="1527"/>
      <c r="E83" s="1498"/>
      <c r="F83" s="1544" t="str">
        <f t="shared" si="2"/>
        <v>Producto: Malanga xanthosoma Palacio de la Revolución</v>
      </c>
    </row>
    <row r="84" spans="1:11" ht="15" customHeight="1" x14ac:dyDescent="0.2">
      <c r="A84" s="1528" t="s">
        <v>1374</v>
      </c>
      <c r="B84" s="1529"/>
      <c r="C84" s="1530"/>
      <c r="D84" s="1531"/>
      <c r="E84" s="1684"/>
      <c r="F84" s="1544" t="str">
        <f t="shared" si="2"/>
        <v>Producto: Malanga xanthosoma Palacio de la Revolución</v>
      </c>
    </row>
    <row r="85" spans="1:11" ht="15" customHeight="1" thickBot="1" x14ac:dyDescent="0.25">
      <c r="A85" s="1794"/>
      <c r="B85" s="1795"/>
      <c r="C85" s="1795"/>
      <c r="D85" s="1796"/>
      <c r="E85" s="1628"/>
      <c r="F85" s="1544" t="str">
        <f t="shared" si="2"/>
        <v>Producto: Malanga xanthosoma Palacio de la Revolución</v>
      </c>
    </row>
    <row r="86" spans="1:11" s="1493" customFormat="1" ht="15" customHeight="1" x14ac:dyDescent="0.25">
      <c r="A86" s="1788" t="s">
        <v>2093</v>
      </c>
      <c r="B86" s="1789"/>
      <c r="C86" s="1789"/>
      <c r="D86" s="1790"/>
      <c r="E86" s="1628"/>
      <c r="F86" s="1545" t="str">
        <f t="shared" ref="F86:F127" si="4">A$88</f>
        <v xml:space="preserve">Producto: Yuca  </v>
      </c>
      <c r="G86" s="1491"/>
      <c r="H86" s="1491"/>
      <c r="I86" s="1492"/>
      <c r="J86" s="1492"/>
      <c r="K86" s="1492"/>
    </row>
    <row r="87" spans="1:11" s="1493" customFormat="1" ht="15" customHeight="1" x14ac:dyDescent="0.25">
      <c r="A87" s="1791" t="s">
        <v>1854</v>
      </c>
      <c r="B87" s="1792"/>
      <c r="C87" s="1792"/>
      <c r="D87" s="1793"/>
      <c r="E87" s="1628"/>
      <c r="F87" s="1545" t="str">
        <f t="shared" si="4"/>
        <v xml:space="preserve">Producto: Yuca  </v>
      </c>
      <c r="H87" s="1491"/>
      <c r="I87" s="1492"/>
      <c r="J87" s="1492"/>
      <c r="K87" s="1492"/>
    </row>
    <row r="88" spans="1:11" ht="15" customHeight="1" x14ac:dyDescent="0.2">
      <c r="A88" s="1499" t="s">
        <v>2094</v>
      </c>
      <c r="B88" s="1784" t="s">
        <v>278</v>
      </c>
      <c r="C88" s="1785"/>
      <c r="D88" s="1618">
        <v>10</v>
      </c>
      <c r="E88" s="1680"/>
      <c r="F88" s="1544" t="str">
        <f t="shared" si="4"/>
        <v xml:space="preserve">Producto: Yuca  </v>
      </c>
    </row>
    <row r="89" spans="1:11" s="1501" customFormat="1" ht="15" customHeight="1" thickBot="1" x14ac:dyDescent="0.25">
      <c r="A89" s="1500" t="s">
        <v>637</v>
      </c>
      <c r="C89" s="1502"/>
      <c r="D89" s="1503"/>
      <c r="E89" s="1681"/>
      <c r="F89" s="1544" t="str">
        <f t="shared" si="4"/>
        <v xml:space="preserve">Producto: Yuca  </v>
      </c>
      <c r="G89" s="1504"/>
      <c r="H89" s="1504"/>
      <c r="I89" s="1505"/>
      <c r="J89" s="1505"/>
      <c r="K89" s="1505"/>
    </row>
    <row r="90" spans="1:11" s="1511" customFormat="1" ht="32.25" customHeight="1" thickBot="1" x14ac:dyDescent="0.25">
      <c r="A90" s="1532" t="s">
        <v>1368</v>
      </c>
      <c r="B90" s="1532" t="s">
        <v>242</v>
      </c>
      <c r="C90" s="1533" t="s">
        <v>1976</v>
      </c>
      <c r="D90" s="1532" t="s">
        <v>1369</v>
      </c>
      <c r="E90" s="1682"/>
      <c r="F90" s="1544" t="str">
        <f t="shared" si="4"/>
        <v xml:space="preserve">Producto: Yuca  </v>
      </c>
      <c r="G90" s="1509"/>
      <c r="H90" s="1509"/>
      <c r="I90" s="1510"/>
      <c r="J90" s="1510"/>
      <c r="K90" s="1510"/>
    </row>
    <row r="91" spans="1:11" ht="15" customHeight="1" x14ac:dyDescent="0.2">
      <c r="A91" s="1512">
        <v>1</v>
      </c>
      <c r="B91" s="1513">
        <v>2</v>
      </c>
      <c r="C91" s="1514">
        <v>3</v>
      </c>
      <c r="D91" s="1515">
        <v>4</v>
      </c>
      <c r="E91" s="1679"/>
      <c r="F91" s="1544" t="str">
        <f t="shared" si="4"/>
        <v xml:space="preserve">Producto: Yuca  </v>
      </c>
    </row>
    <row r="92" spans="1:11" ht="15" customHeight="1" x14ac:dyDescent="0.2">
      <c r="A92" s="1516" t="s">
        <v>905</v>
      </c>
      <c r="B92" s="1095">
        <v>1</v>
      </c>
      <c r="C92" s="1244">
        <f>C93+C94+C95+C96</f>
        <v>4460.1470000000008</v>
      </c>
      <c r="D92" s="1244">
        <f>D93+D94+D95+D96</f>
        <v>26128.28</v>
      </c>
      <c r="E92" s="1498">
        <f>D92/D$121%</f>
        <v>12.690352775740399</v>
      </c>
      <c r="F92" s="1544" t="str">
        <f t="shared" si="4"/>
        <v xml:space="preserve">Producto: Yuca  </v>
      </c>
    </row>
    <row r="93" spans="1:11" ht="15" customHeight="1" x14ac:dyDescent="0.2">
      <c r="A93" s="1516" t="s">
        <v>906</v>
      </c>
      <c r="B93" s="1095">
        <v>1.1000000000000001</v>
      </c>
      <c r="C93" s="1517">
        <f>IM!E185</f>
        <v>4164.7270000000008</v>
      </c>
      <c r="D93" s="1244">
        <f>IM!H185</f>
        <v>13510</v>
      </c>
      <c r="E93" s="1498">
        <f t="shared" ref="E93:E121" si="5">D93/D$121%</f>
        <v>6.5617279821041725</v>
      </c>
      <c r="F93" s="1544" t="str">
        <f t="shared" si="4"/>
        <v xml:space="preserve">Producto: Yuca  </v>
      </c>
    </row>
    <row r="94" spans="1:11" ht="15" customHeight="1" x14ac:dyDescent="0.2">
      <c r="A94" s="1518" t="s">
        <v>909</v>
      </c>
      <c r="B94" s="1095">
        <v>1.2</v>
      </c>
      <c r="C94" s="1519"/>
      <c r="D94" s="1244">
        <f>IM!H188</f>
        <v>2919</v>
      </c>
      <c r="E94" s="1498">
        <f t="shared" si="5"/>
        <v>1.4177412272214713</v>
      </c>
      <c r="F94" s="1544" t="str">
        <f t="shared" si="4"/>
        <v xml:space="preserve">Producto: Yuca  </v>
      </c>
    </row>
    <row r="95" spans="1:11" ht="15" customHeight="1" x14ac:dyDescent="0.2">
      <c r="A95" s="1516" t="s">
        <v>1472</v>
      </c>
      <c r="B95" s="1095">
        <v>1.3</v>
      </c>
      <c r="C95" s="1517">
        <f>IM!E189</f>
        <v>198.22000000000003</v>
      </c>
      <c r="D95" s="1244">
        <f>IM!H189</f>
        <v>9250</v>
      </c>
      <c r="E95" s="1498">
        <f t="shared" si="5"/>
        <v>4.4926708981838335</v>
      </c>
      <c r="F95" s="1544" t="str">
        <f t="shared" si="4"/>
        <v xml:space="preserve">Producto: Yuca  </v>
      </c>
    </row>
    <row r="96" spans="1:11" ht="15" customHeight="1" x14ac:dyDescent="0.2">
      <c r="A96" s="1516" t="s">
        <v>283</v>
      </c>
      <c r="B96" s="1095">
        <v>1.4</v>
      </c>
      <c r="C96" s="1517">
        <f>IM!E187</f>
        <v>97.2</v>
      </c>
      <c r="D96" s="1244">
        <f>IM!H187</f>
        <v>449.28000000000003</v>
      </c>
      <c r="E96" s="1498">
        <f t="shared" si="5"/>
        <v>0.21821266823092247</v>
      </c>
      <c r="F96" s="1544" t="str">
        <f t="shared" si="4"/>
        <v xml:space="preserve">Producto: Yuca  </v>
      </c>
    </row>
    <row r="97" spans="1:6" ht="15" customHeight="1" x14ac:dyDescent="0.2">
      <c r="A97" s="1520" t="s">
        <v>1473</v>
      </c>
      <c r="B97" s="1095">
        <v>2</v>
      </c>
      <c r="C97" s="1517">
        <f>[6]SALARIOS!$F$41+[6]SALARIOS!$G$41</f>
        <v>8290.84</v>
      </c>
      <c r="D97" s="1244">
        <f>SALARIOS!F41+SALARIOS!G41</f>
        <v>100362.8</v>
      </c>
      <c r="E97" s="1498">
        <f t="shared" si="5"/>
        <v>48.745624953539945</v>
      </c>
      <c r="F97" s="1544" t="str">
        <f t="shared" si="4"/>
        <v xml:space="preserve">Producto: Yuca  </v>
      </c>
    </row>
    <row r="98" spans="1:6" ht="15" customHeight="1" x14ac:dyDescent="0.2">
      <c r="A98" s="1518" t="s">
        <v>907</v>
      </c>
      <c r="B98" s="1095" t="s">
        <v>917</v>
      </c>
      <c r="C98" s="1519"/>
      <c r="D98" s="1244"/>
      <c r="E98" s="1498">
        <f t="shared" si="5"/>
        <v>0</v>
      </c>
      <c r="F98" s="1544" t="str">
        <f t="shared" si="4"/>
        <v xml:space="preserve">Producto: Yuca  </v>
      </c>
    </row>
    <row r="99" spans="1:6" ht="15" customHeight="1" x14ac:dyDescent="0.2">
      <c r="A99" s="1518" t="s">
        <v>634</v>
      </c>
      <c r="B99" s="1095">
        <v>3</v>
      </c>
      <c r="C99" s="1244">
        <f>C100</f>
        <v>121.79</v>
      </c>
      <c r="D99" s="1244">
        <f>D100</f>
        <v>2350</v>
      </c>
      <c r="E99" s="1498">
        <f t="shared" si="5"/>
        <v>1.1413812552142713</v>
      </c>
      <c r="F99" s="1544" t="str">
        <f t="shared" si="4"/>
        <v xml:space="preserve">Producto: Yuca  </v>
      </c>
    </row>
    <row r="100" spans="1:6" ht="15" customHeight="1" x14ac:dyDescent="0.2">
      <c r="A100" s="1518" t="s">
        <v>1474</v>
      </c>
      <c r="B100" s="1095">
        <v>3.1</v>
      </c>
      <c r="C100" s="1244">
        <v>121.79</v>
      </c>
      <c r="D100" s="1244">
        <v>2350</v>
      </c>
      <c r="E100" s="1498">
        <f t="shared" si="5"/>
        <v>1.1413812552142713</v>
      </c>
      <c r="F100" s="1544" t="str">
        <f t="shared" si="4"/>
        <v xml:space="preserve">Producto: Yuca  </v>
      </c>
    </row>
    <row r="101" spans="1:6" ht="15" customHeight="1" x14ac:dyDescent="0.2">
      <c r="A101" s="1518" t="s">
        <v>908</v>
      </c>
      <c r="B101" s="1095">
        <v>4</v>
      </c>
      <c r="C101" s="1244">
        <f>C102</f>
        <v>248.7252</v>
      </c>
      <c r="D101" s="1244">
        <v>55000</v>
      </c>
      <c r="E101" s="1498">
        <f t="shared" si="5"/>
        <v>26.713178313525496</v>
      </c>
      <c r="F101" s="1544" t="str">
        <f t="shared" si="4"/>
        <v xml:space="preserve">Producto: Yuca  </v>
      </c>
    </row>
    <row r="102" spans="1:6" ht="15" customHeight="1" x14ac:dyDescent="0.2">
      <c r="A102" s="1518" t="s">
        <v>45</v>
      </c>
      <c r="B102" s="1095">
        <v>4.0999999999999996</v>
      </c>
      <c r="C102" s="1244">
        <f>C97*3%</f>
        <v>248.7252</v>
      </c>
      <c r="D102" s="1244"/>
      <c r="E102" s="1498">
        <f t="shared" si="5"/>
        <v>0</v>
      </c>
      <c r="F102" s="1544" t="str">
        <f t="shared" si="4"/>
        <v xml:space="preserve">Producto: Yuca  </v>
      </c>
    </row>
    <row r="103" spans="1:6" ht="15" customHeight="1" x14ac:dyDescent="0.2">
      <c r="A103" s="1518" t="s">
        <v>909</v>
      </c>
      <c r="B103" s="1095">
        <v>4.2</v>
      </c>
      <c r="C103" s="1519"/>
      <c r="D103" s="1244"/>
      <c r="E103" s="1498">
        <f t="shared" si="5"/>
        <v>0</v>
      </c>
      <c r="F103" s="1544" t="str">
        <f t="shared" si="4"/>
        <v xml:space="preserve">Producto: Yuca  </v>
      </c>
    </row>
    <row r="104" spans="1:6" ht="15" customHeight="1" x14ac:dyDescent="0.2">
      <c r="A104" s="1518" t="s">
        <v>228</v>
      </c>
      <c r="B104" s="1095">
        <v>5</v>
      </c>
      <c r="C104" s="1244">
        <f>C105</f>
        <v>165.8168</v>
      </c>
      <c r="D104" s="1244">
        <v>2500</v>
      </c>
      <c r="E104" s="1498">
        <f t="shared" si="5"/>
        <v>1.2142353778875226</v>
      </c>
      <c r="F104" s="1544" t="str">
        <f t="shared" si="4"/>
        <v xml:space="preserve">Producto: Yuca  </v>
      </c>
    </row>
    <row r="105" spans="1:6" ht="15" customHeight="1" x14ac:dyDescent="0.2">
      <c r="A105" s="1518" t="s">
        <v>45</v>
      </c>
      <c r="B105" s="1095">
        <v>5.0999999999999996</v>
      </c>
      <c r="C105" s="1244">
        <f>C97*2%</f>
        <v>165.8168</v>
      </c>
      <c r="D105" s="1244">
        <f>D97*2%</f>
        <v>2007.2560000000001</v>
      </c>
      <c r="E105" s="1498">
        <f t="shared" si="5"/>
        <v>0.97491249907079891</v>
      </c>
      <c r="F105" s="1544" t="str">
        <f t="shared" si="4"/>
        <v xml:space="preserve">Producto: Yuca  </v>
      </c>
    </row>
    <row r="106" spans="1:6" ht="15" customHeight="1" x14ac:dyDescent="0.2">
      <c r="A106" s="1518" t="s">
        <v>909</v>
      </c>
      <c r="B106" s="1095">
        <v>5.2</v>
      </c>
      <c r="C106" s="1519"/>
      <c r="D106" s="1244"/>
      <c r="E106" s="1498">
        <f t="shared" si="5"/>
        <v>0</v>
      </c>
      <c r="F106" s="1544" t="str">
        <f t="shared" si="4"/>
        <v xml:space="preserve">Producto: Yuca  </v>
      </c>
    </row>
    <row r="107" spans="1:6" ht="15" customHeight="1" x14ac:dyDescent="0.2">
      <c r="A107" s="1518" t="s">
        <v>635</v>
      </c>
      <c r="B107" s="1095">
        <v>6</v>
      </c>
      <c r="C107" s="1519"/>
      <c r="D107" s="1244">
        <f>D108+D109</f>
        <v>0</v>
      </c>
      <c r="E107" s="1498">
        <f t="shared" si="5"/>
        <v>0</v>
      </c>
      <c r="F107" s="1544" t="str">
        <f t="shared" si="4"/>
        <v xml:space="preserve">Producto: Yuca  </v>
      </c>
    </row>
    <row r="108" spans="1:6" ht="15" customHeight="1" x14ac:dyDescent="0.2">
      <c r="A108" s="1518" t="s">
        <v>45</v>
      </c>
      <c r="B108" s="1095">
        <v>6.1</v>
      </c>
      <c r="C108" s="1519"/>
      <c r="D108" s="1244"/>
      <c r="E108" s="1498">
        <f t="shared" si="5"/>
        <v>0</v>
      </c>
      <c r="F108" s="1544" t="str">
        <f t="shared" si="4"/>
        <v xml:space="preserve">Producto: Yuca  </v>
      </c>
    </row>
    <row r="109" spans="1:6" ht="15" customHeight="1" x14ac:dyDescent="0.2">
      <c r="A109" s="1518" t="s">
        <v>909</v>
      </c>
      <c r="B109" s="1095">
        <v>6.2</v>
      </c>
      <c r="C109" s="1519"/>
      <c r="D109" s="1244"/>
      <c r="E109" s="1498">
        <f t="shared" si="5"/>
        <v>0</v>
      </c>
      <c r="F109" s="1544" t="str">
        <f t="shared" si="4"/>
        <v xml:space="preserve">Producto: Yuca  </v>
      </c>
    </row>
    <row r="110" spans="1:6" ht="15" customHeight="1" x14ac:dyDescent="0.2">
      <c r="A110" s="1518" t="s">
        <v>1375</v>
      </c>
      <c r="B110" s="1095">
        <v>7</v>
      </c>
      <c r="C110" s="1244">
        <f>C92+C97+C99+C101+C104</f>
        <v>13287.319000000003</v>
      </c>
      <c r="D110" s="1244">
        <f>D92+D97+D99+D101+D104</f>
        <v>186341.08000000002</v>
      </c>
      <c r="E110" s="1498">
        <f t="shared" si="5"/>
        <v>90.504772675907645</v>
      </c>
      <c r="F110" s="1544" t="str">
        <f t="shared" si="4"/>
        <v xml:space="preserve">Producto: Yuca  </v>
      </c>
    </row>
    <row r="111" spans="1:6" ht="15" customHeight="1" x14ac:dyDescent="0.2">
      <c r="A111" s="1518" t="s">
        <v>910</v>
      </c>
      <c r="B111" s="1095">
        <v>8</v>
      </c>
      <c r="C111" s="1519"/>
      <c r="D111" s="1521">
        <f>DATOS!H26</f>
        <v>0</v>
      </c>
      <c r="E111" s="1498">
        <f t="shared" si="5"/>
        <v>0</v>
      </c>
      <c r="F111" s="1544" t="str">
        <f t="shared" si="4"/>
        <v xml:space="preserve">Producto: Yuca  </v>
      </c>
    </row>
    <row r="112" spans="1:6" ht="15" customHeight="1" x14ac:dyDescent="0.2">
      <c r="A112" s="1516" t="s">
        <v>911</v>
      </c>
      <c r="B112" s="1095">
        <v>9</v>
      </c>
      <c r="C112" s="1519"/>
      <c r="D112" s="1521"/>
      <c r="E112" s="1498">
        <f t="shared" si="5"/>
        <v>0</v>
      </c>
      <c r="F112" s="1544" t="str">
        <f t="shared" si="4"/>
        <v xml:space="preserve">Producto: Yuca  </v>
      </c>
    </row>
    <row r="113" spans="1:11" ht="15" customHeight="1" x14ac:dyDescent="0.2">
      <c r="A113" s="1518" t="s">
        <v>913</v>
      </c>
      <c r="B113" s="1095">
        <v>10</v>
      </c>
      <c r="C113" s="1244">
        <f>(C97+C102+C105)*12.5%</f>
        <v>1088.1727500000002</v>
      </c>
      <c r="D113" s="1244">
        <f>(D97+D102+D105)*12.5%</f>
        <v>12796.257</v>
      </c>
      <c r="E113" s="1498">
        <f t="shared" si="5"/>
        <v>6.2150671815763427</v>
      </c>
      <c r="F113" s="1544" t="str">
        <f t="shared" si="4"/>
        <v xml:space="preserve">Producto: Yuca  </v>
      </c>
    </row>
    <row r="114" spans="1:11" ht="15" customHeight="1" x14ac:dyDescent="0.2">
      <c r="A114" s="1516" t="s">
        <v>912</v>
      </c>
      <c r="B114" s="1095">
        <v>11</v>
      </c>
      <c r="C114" s="1244">
        <f>(C97+C102+C105)*1.5%</f>
        <v>130.58073000000002</v>
      </c>
      <c r="D114" s="1244">
        <f>(D97+D102+D105)*1.5%</f>
        <v>1535.5508399999999</v>
      </c>
      <c r="E114" s="1498">
        <f t="shared" si="5"/>
        <v>0.74580806178916104</v>
      </c>
      <c r="F114" s="1544" t="str">
        <f t="shared" si="4"/>
        <v xml:space="preserve">Producto: Yuca  </v>
      </c>
    </row>
    <row r="115" spans="1:11" ht="15" customHeight="1" x14ac:dyDescent="0.2">
      <c r="A115" s="1518" t="s">
        <v>1475</v>
      </c>
      <c r="B115" s="1095">
        <v>12</v>
      </c>
      <c r="C115" s="1519"/>
      <c r="D115" s="1244"/>
      <c r="E115" s="1498">
        <f t="shared" si="5"/>
        <v>0</v>
      </c>
      <c r="F115" s="1544" t="str">
        <f t="shared" si="4"/>
        <v xml:space="preserve">Producto: Yuca  </v>
      </c>
    </row>
    <row r="116" spans="1:11" ht="15" customHeight="1" x14ac:dyDescent="0.2">
      <c r="A116" s="1516" t="s">
        <v>640</v>
      </c>
      <c r="B116" s="1095">
        <v>13</v>
      </c>
      <c r="C116" s="1517">
        <f>(60*21.74*12)*5%</f>
        <v>782.64</v>
      </c>
      <c r="D116" s="1244">
        <v>5218</v>
      </c>
      <c r="E116" s="1498">
        <f t="shared" si="5"/>
        <v>2.5343520807268374</v>
      </c>
      <c r="F116" s="1544" t="str">
        <f t="shared" si="4"/>
        <v xml:space="preserve">Producto: Yuca  </v>
      </c>
    </row>
    <row r="117" spans="1:11" ht="15" customHeight="1" x14ac:dyDescent="0.2">
      <c r="A117" s="1516" t="s">
        <v>914</v>
      </c>
      <c r="B117" s="1095">
        <v>14</v>
      </c>
      <c r="C117" s="1519"/>
      <c r="D117" s="1244"/>
      <c r="E117" s="1498">
        <f t="shared" si="5"/>
        <v>0</v>
      </c>
      <c r="F117" s="1544" t="str">
        <f t="shared" si="4"/>
        <v xml:space="preserve">Producto: Yuca  </v>
      </c>
    </row>
    <row r="118" spans="1:11" ht="15" customHeight="1" x14ac:dyDescent="0.2">
      <c r="A118" s="1516" t="s">
        <v>915</v>
      </c>
      <c r="B118" s="1095">
        <v>15</v>
      </c>
      <c r="C118" s="1519"/>
      <c r="D118" s="1244"/>
      <c r="E118" s="1498">
        <f t="shared" si="5"/>
        <v>0</v>
      </c>
      <c r="F118" s="1544" t="str">
        <f t="shared" si="4"/>
        <v xml:space="preserve">Producto: Yuca  </v>
      </c>
    </row>
    <row r="119" spans="1:11" ht="15" customHeight="1" x14ac:dyDescent="0.2">
      <c r="A119" s="1516" t="s">
        <v>916</v>
      </c>
      <c r="B119" s="1095">
        <v>16</v>
      </c>
      <c r="C119" s="1519"/>
      <c r="D119" s="1244"/>
      <c r="E119" s="1498">
        <f t="shared" si="5"/>
        <v>0</v>
      </c>
      <c r="F119" s="1544" t="str">
        <f t="shared" si="4"/>
        <v xml:space="preserve">Producto: Yuca  </v>
      </c>
    </row>
    <row r="120" spans="1:11" ht="15" customHeight="1" x14ac:dyDescent="0.2">
      <c r="A120" s="1516" t="s">
        <v>1376</v>
      </c>
      <c r="B120" s="1095">
        <v>17</v>
      </c>
      <c r="C120" s="1244">
        <f>C110+C111+C112+C113+C114+C115+C116+C117+C118+C119</f>
        <v>15288.712480000002</v>
      </c>
      <c r="D120" s="1244">
        <f>D110+D111+D112+D113+D114+D115+D116+D117+D118+D119</f>
        <v>205890.88784000004</v>
      </c>
      <c r="E120" s="1498">
        <f t="shared" si="5"/>
        <v>100</v>
      </c>
      <c r="F120" s="1544" t="str">
        <f t="shared" si="4"/>
        <v xml:space="preserve">Producto: Yuca  </v>
      </c>
    </row>
    <row r="121" spans="1:11" ht="15" customHeight="1" x14ac:dyDescent="0.2">
      <c r="A121" s="1516" t="s">
        <v>17</v>
      </c>
      <c r="B121" s="1095">
        <v>18</v>
      </c>
      <c r="C121" s="1244">
        <f>C120+DATOS!Q26</f>
        <v>15288.712480000002</v>
      </c>
      <c r="D121" s="1244">
        <f>D120+DATOS!R26</f>
        <v>205890.88784000004</v>
      </c>
      <c r="E121" s="1498">
        <f t="shared" si="5"/>
        <v>100</v>
      </c>
      <c r="F121" s="1544" t="str">
        <f t="shared" si="4"/>
        <v xml:space="preserve">Producto: Yuca  </v>
      </c>
    </row>
    <row r="122" spans="1:11" ht="15" customHeight="1" x14ac:dyDescent="0.2">
      <c r="A122" s="1516" t="s">
        <v>18</v>
      </c>
      <c r="B122" s="1095">
        <v>19</v>
      </c>
      <c r="C122" s="1244">
        <f>C121/D88</f>
        <v>1528.8712480000002</v>
      </c>
      <c r="D122" s="1244">
        <f>D121/D88</f>
        <v>20589.088784000003</v>
      </c>
      <c r="E122" s="1498"/>
      <c r="F122" s="1544" t="str">
        <f t="shared" si="4"/>
        <v xml:space="preserve">Producto: Yuca  </v>
      </c>
    </row>
    <row r="123" spans="1:11" s="1493" customFormat="1" ht="15" customHeight="1" x14ac:dyDescent="0.25">
      <c r="A123" s="1012" t="s">
        <v>2081</v>
      </c>
      <c r="B123" s="1013">
        <v>20</v>
      </c>
      <c r="C123" s="1537">
        <f>C122/21.74</f>
        <v>70.325264397424121</v>
      </c>
      <c r="D123" s="1537">
        <f>D122/21.74*1.3</f>
        <v>1231.1782621527141</v>
      </c>
      <c r="E123" s="1683"/>
      <c r="F123" s="1544" t="str">
        <f t="shared" si="4"/>
        <v xml:space="preserve">Producto: Yuca  </v>
      </c>
      <c r="G123" s="1491"/>
      <c r="H123" s="1491"/>
      <c r="I123" s="1492"/>
      <c r="J123" s="1492"/>
      <c r="K123" s="1492"/>
    </row>
    <row r="124" spans="1:11" ht="15" customHeight="1" x14ac:dyDescent="0.2">
      <c r="A124" s="1499" t="s">
        <v>249</v>
      </c>
      <c r="B124" s="1480"/>
      <c r="C124" s="1522"/>
      <c r="D124" s="1523"/>
      <c r="E124" s="1498"/>
      <c r="F124" s="1544" t="str">
        <f t="shared" si="4"/>
        <v xml:space="preserve">Producto: Yuca  </v>
      </c>
    </row>
    <row r="125" spans="1:11" ht="15" customHeight="1" thickBot="1" x14ac:dyDescent="0.25">
      <c r="A125" s="1524"/>
      <c r="B125" s="1525"/>
      <c r="C125" s="1526"/>
      <c r="D125" s="1527"/>
      <c r="E125" s="1498"/>
      <c r="F125" s="1544" t="str">
        <f t="shared" si="4"/>
        <v xml:space="preserve">Producto: Yuca  </v>
      </c>
    </row>
    <row r="126" spans="1:11" ht="15" customHeight="1" x14ac:dyDescent="0.2">
      <c r="A126" s="1528" t="s">
        <v>1374</v>
      </c>
      <c r="B126" s="1529"/>
      <c r="C126" s="1530"/>
      <c r="D126" s="1531"/>
      <c r="E126" s="1684"/>
      <c r="F126" s="1544" t="str">
        <f t="shared" si="4"/>
        <v xml:space="preserve">Producto: Yuca  </v>
      </c>
    </row>
    <row r="127" spans="1:11" ht="15" customHeight="1" thickBot="1" x14ac:dyDescent="0.25">
      <c r="A127" s="1794"/>
      <c r="B127" s="1795"/>
      <c r="C127" s="1795"/>
      <c r="D127" s="1796"/>
      <c r="E127" s="1628"/>
      <c r="F127" s="1544" t="str">
        <f t="shared" si="4"/>
        <v xml:space="preserve">Producto: Yuca  </v>
      </c>
    </row>
    <row r="128" spans="1:11" s="1493" customFormat="1" ht="15" customHeight="1" x14ac:dyDescent="0.25">
      <c r="A128" s="1788" t="s">
        <v>2093</v>
      </c>
      <c r="B128" s="1789"/>
      <c r="C128" s="1789"/>
      <c r="D128" s="1790"/>
      <c r="E128" s="1628"/>
      <c r="F128" s="1545" t="str">
        <f t="shared" ref="F128:F169" si="6">A$130</f>
        <v>Producto: Plátano vianda extradenso Palacio de la Revolución</v>
      </c>
      <c r="G128" s="1491"/>
      <c r="H128" s="1491"/>
      <c r="I128" s="1492"/>
      <c r="J128" s="1492"/>
      <c r="K128" s="1492"/>
    </row>
    <row r="129" spans="1:11" s="1493" customFormat="1" ht="15" customHeight="1" x14ac:dyDescent="0.25">
      <c r="A129" s="1791" t="s">
        <v>1854</v>
      </c>
      <c r="B129" s="1792"/>
      <c r="C129" s="1792"/>
      <c r="D129" s="1793"/>
      <c r="E129" s="1628"/>
      <c r="F129" s="1545" t="str">
        <f t="shared" si="6"/>
        <v>Producto: Plátano vianda extradenso Palacio de la Revolución</v>
      </c>
      <c r="G129" s="1491"/>
      <c r="H129" s="1491"/>
      <c r="I129" s="1492"/>
      <c r="J129" s="1492"/>
      <c r="K129" s="1492"/>
    </row>
    <row r="130" spans="1:11" ht="15" customHeight="1" x14ac:dyDescent="0.2">
      <c r="A130" s="1499" t="s">
        <v>2089</v>
      </c>
      <c r="B130" s="1784" t="s">
        <v>278</v>
      </c>
      <c r="C130" s="1785"/>
      <c r="D130" s="1618">
        <v>30</v>
      </c>
      <c r="E130" s="1680"/>
      <c r="F130" s="1544" t="str">
        <f t="shared" si="6"/>
        <v>Producto: Plátano vianda extradenso Palacio de la Revolución</v>
      </c>
    </row>
    <row r="131" spans="1:11" s="1501" customFormat="1" ht="15" customHeight="1" thickBot="1" x14ac:dyDescent="0.25">
      <c r="A131" s="1500" t="s">
        <v>637</v>
      </c>
      <c r="C131" s="1502"/>
      <c r="D131" s="1503"/>
      <c r="E131" s="1681"/>
      <c r="F131" s="1544" t="str">
        <f t="shared" si="6"/>
        <v>Producto: Plátano vianda extradenso Palacio de la Revolución</v>
      </c>
      <c r="G131" s="1504"/>
      <c r="H131" s="1534"/>
      <c r="I131" s="1505"/>
      <c r="J131" s="1505"/>
      <c r="K131" s="1505"/>
    </row>
    <row r="132" spans="1:11" s="1511" customFormat="1" ht="32.25" customHeight="1" thickBot="1" x14ac:dyDescent="0.25">
      <c r="A132" s="1532" t="s">
        <v>1368</v>
      </c>
      <c r="B132" s="1532" t="s">
        <v>242</v>
      </c>
      <c r="C132" s="1533" t="s">
        <v>1976</v>
      </c>
      <c r="D132" s="1532" t="s">
        <v>1369</v>
      </c>
      <c r="E132" s="1682"/>
      <c r="F132" s="1544" t="str">
        <f t="shared" si="6"/>
        <v>Producto: Plátano vianda extradenso Palacio de la Revolución</v>
      </c>
      <c r="G132" s="1509"/>
      <c r="H132" s="1509"/>
      <c r="I132" s="1510"/>
      <c r="J132" s="1510"/>
      <c r="K132" s="1510"/>
    </row>
    <row r="133" spans="1:11" ht="15" customHeight="1" x14ac:dyDescent="0.2">
      <c r="A133" s="1512">
        <v>1</v>
      </c>
      <c r="B133" s="1513">
        <v>2</v>
      </c>
      <c r="C133" s="1514">
        <v>3</v>
      </c>
      <c r="D133" s="1515">
        <v>4</v>
      </c>
      <c r="E133" s="1679"/>
      <c r="F133" s="1544" t="str">
        <f t="shared" si="6"/>
        <v>Producto: Plátano vianda extradenso Palacio de la Revolución</v>
      </c>
      <c r="G133" s="1498"/>
      <c r="H133" s="1498"/>
    </row>
    <row r="134" spans="1:11" ht="15" customHeight="1" x14ac:dyDescent="0.2">
      <c r="A134" s="1516" t="s">
        <v>905</v>
      </c>
      <c r="B134" s="1095">
        <v>1</v>
      </c>
      <c r="C134" s="1244">
        <f>C135+C136+C137+C138</f>
        <v>8066.2</v>
      </c>
      <c r="D134" s="1244">
        <f>D135+D136+D137+D138</f>
        <v>33843.199999999997</v>
      </c>
      <c r="E134" s="1498">
        <f>D134/D$163%</f>
        <v>11.742825940045353</v>
      </c>
      <c r="F134" s="1544" t="str">
        <f t="shared" si="6"/>
        <v>Producto: Plátano vianda extradenso Palacio de la Revolución</v>
      </c>
      <c r="G134" s="1498"/>
      <c r="H134" s="1498"/>
      <c r="I134" s="1498"/>
    </row>
    <row r="135" spans="1:11" ht="15" customHeight="1" x14ac:dyDescent="0.2">
      <c r="A135" s="1516" t="s">
        <v>906</v>
      </c>
      <c r="B135" s="1095">
        <v>1.1000000000000001</v>
      </c>
      <c r="C135" s="1517">
        <f>IM!E153</f>
        <v>7915</v>
      </c>
      <c r="D135" s="1244">
        <f>IM!H153</f>
        <v>11128.2</v>
      </c>
      <c r="E135" s="1498">
        <f t="shared" ref="E135:E163" si="7">D135/D$163%</f>
        <v>3.8612340330114385</v>
      </c>
      <c r="F135" s="1544" t="str">
        <f t="shared" si="6"/>
        <v>Producto: Plátano vianda extradenso Palacio de la Revolución</v>
      </c>
      <c r="G135" s="1498"/>
      <c r="H135" s="1498"/>
      <c r="I135" s="1498"/>
    </row>
    <row r="136" spans="1:11" ht="15" customHeight="1" x14ac:dyDescent="0.2">
      <c r="A136" s="1518" t="s">
        <v>909</v>
      </c>
      <c r="B136" s="1095">
        <v>1.2</v>
      </c>
      <c r="C136" s="1519"/>
      <c r="D136" s="1244">
        <f>IM!H156</f>
        <v>2919</v>
      </c>
      <c r="E136" s="1498">
        <f t="shared" si="7"/>
        <v>1.012827064786793</v>
      </c>
      <c r="F136" s="1544" t="str">
        <f t="shared" si="6"/>
        <v>Producto: Plátano vianda extradenso Palacio de la Revolución</v>
      </c>
    </row>
    <row r="137" spans="1:11" ht="15" customHeight="1" x14ac:dyDescent="0.2">
      <c r="A137" s="1516" t="s">
        <v>1472</v>
      </c>
      <c r="B137" s="1095">
        <v>1.3</v>
      </c>
      <c r="C137" s="1519">
        <f>IM!E157</f>
        <v>0</v>
      </c>
      <c r="D137" s="1244">
        <f>IM!H157</f>
        <v>18500</v>
      </c>
      <c r="E137" s="1498">
        <f t="shared" si="7"/>
        <v>6.4190821166686085</v>
      </c>
      <c r="F137" s="1544" t="str">
        <f t="shared" si="6"/>
        <v>Producto: Plátano vianda extradenso Palacio de la Revolución</v>
      </c>
    </row>
    <row r="138" spans="1:11" ht="15" customHeight="1" x14ac:dyDescent="0.2">
      <c r="A138" s="1516" t="s">
        <v>283</v>
      </c>
      <c r="B138" s="1095">
        <v>1.4</v>
      </c>
      <c r="C138" s="1517">
        <f>IM!E155</f>
        <v>151.20000000000002</v>
      </c>
      <c r="D138" s="1244">
        <f>IM!H155</f>
        <v>1296</v>
      </c>
      <c r="E138" s="1498">
        <f t="shared" si="7"/>
        <v>0.44968272557851441</v>
      </c>
      <c r="F138" s="1544" t="str">
        <f t="shared" si="6"/>
        <v>Producto: Plátano vianda extradenso Palacio de la Revolución</v>
      </c>
      <c r="G138" s="1498"/>
      <c r="H138" s="1498"/>
    </row>
    <row r="139" spans="1:11" ht="15" customHeight="1" x14ac:dyDescent="0.2">
      <c r="A139" s="1520" t="s">
        <v>1473</v>
      </c>
      <c r="B139" s="1095">
        <v>2</v>
      </c>
      <c r="C139" s="1517">
        <f>[6]SALARIOS!$F$57+[6]SALARIOS!$G$57</f>
        <v>21244.464102800972</v>
      </c>
      <c r="D139" s="1244">
        <f>SALARIOS!F57+SALARIOS!G57</f>
        <v>136144.32000000001</v>
      </c>
      <c r="E139" s="1498">
        <f t="shared" si="7"/>
        <v>47.239003772865324</v>
      </c>
      <c r="F139" s="1544" t="str">
        <f t="shared" si="6"/>
        <v>Producto: Plátano vianda extradenso Palacio de la Revolución</v>
      </c>
    </row>
    <row r="140" spans="1:11" ht="15" customHeight="1" x14ac:dyDescent="0.2">
      <c r="A140" s="1518" t="s">
        <v>907</v>
      </c>
      <c r="B140" s="1095" t="s">
        <v>917</v>
      </c>
      <c r="C140" s="1519"/>
      <c r="D140" s="1244"/>
      <c r="E140" s="1498">
        <f t="shared" si="7"/>
        <v>0</v>
      </c>
      <c r="F140" s="1544" t="str">
        <f t="shared" si="6"/>
        <v>Producto: Plátano vianda extradenso Palacio de la Revolución</v>
      </c>
    </row>
    <row r="141" spans="1:11" ht="15" customHeight="1" x14ac:dyDescent="0.2">
      <c r="A141" s="1518" t="s">
        <v>634</v>
      </c>
      <c r="B141" s="1095">
        <v>3</v>
      </c>
      <c r="C141" s="1244">
        <f>C142</f>
        <v>12000</v>
      </c>
      <c r="D141" s="1244">
        <f>D142</f>
        <v>2500</v>
      </c>
      <c r="E141" s="1498">
        <f t="shared" si="7"/>
        <v>0.86744352927954171</v>
      </c>
      <c r="F141" s="1544" t="str">
        <f t="shared" si="6"/>
        <v>Producto: Plátano vianda extradenso Palacio de la Revolución</v>
      </c>
      <c r="G141" s="1498"/>
      <c r="H141" s="1498"/>
    </row>
    <row r="142" spans="1:11" ht="15" customHeight="1" x14ac:dyDescent="0.2">
      <c r="A142" s="1518" t="s">
        <v>1474</v>
      </c>
      <c r="B142" s="1095">
        <v>3.1</v>
      </c>
      <c r="C142" s="1244">
        <v>12000</v>
      </c>
      <c r="D142" s="1244">
        <v>2500</v>
      </c>
      <c r="E142" s="1498">
        <f t="shared" si="7"/>
        <v>0.86744352927954171</v>
      </c>
      <c r="F142" s="1544" t="str">
        <f t="shared" si="6"/>
        <v>Producto: Plátano vianda extradenso Palacio de la Revolución</v>
      </c>
      <c r="G142" s="1498"/>
      <c r="H142" s="1498"/>
    </row>
    <row r="143" spans="1:11" ht="15" customHeight="1" x14ac:dyDescent="0.2">
      <c r="A143" s="1518" t="s">
        <v>908</v>
      </c>
      <c r="B143" s="1095">
        <v>4</v>
      </c>
      <c r="C143" s="1244">
        <f>C144</f>
        <v>637.33392308402915</v>
      </c>
      <c r="D143" s="1244">
        <v>60000</v>
      </c>
      <c r="E143" s="1498">
        <f t="shared" si="7"/>
        <v>20.818644702709001</v>
      </c>
      <c r="F143" s="1544" t="str">
        <f t="shared" si="6"/>
        <v>Producto: Plátano vianda extradenso Palacio de la Revolución</v>
      </c>
    </row>
    <row r="144" spans="1:11" ht="15" customHeight="1" x14ac:dyDescent="0.2">
      <c r="A144" s="1518" t="s">
        <v>45</v>
      </c>
      <c r="B144" s="1095">
        <v>4.0999999999999996</v>
      </c>
      <c r="C144" s="1244">
        <f>C139*3%</f>
        <v>637.33392308402915</v>
      </c>
      <c r="D144" s="1244"/>
      <c r="E144" s="1498">
        <f t="shared" si="7"/>
        <v>0</v>
      </c>
      <c r="F144" s="1544" t="str">
        <f t="shared" si="6"/>
        <v>Producto: Plátano vianda extradenso Palacio de la Revolución</v>
      </c>
    </row>
    <row r="145" spans="1:11" ht="15" customHeight="1" x14ac:dyDescent="0.2">
      <c r="A145" s="1518" t="s">
        <v>909</v>
      </c>
      <c r="B145" s="1095">
        <v>4.2</v>
      </c>
      <c r="C145" s="1519"/>
      <c r="D145" s="1244"/>
      <c r="E145" s="1498">
        <f t="shared" si="7"/>
        <v>0</v>
      </c>
      <c r="F145" s="1544" t="str">
        <f t="shared" si="6"/>
        <v>Producto: Plátano vianda extradenso Palacio de la Revolución</v>
      </c>
    </row>
    <row r="146" spans="1:11" ht="15" customHeight="1" x14ac:dyDescent="0.2">
      <c r="A146" s="1518" t="s">
        <v>228</v>
      </c>
      <c r="B146" s="1095">
        <v>5</v>
      </c>
      <c r="C146" s="1244">
        <f>C147</f>
        <v>424.88928205601945</v>
      </c>
      <c r="D146" s="1244">
        <v>2500</v>
      </c>
      <c r="E146" s="1498">
        <f t="shared" si="7"/>
        <v>0.86744352927954171</v>
      </c>
      <c r="F146" s="1544" t="str">
        <f t="shared" si="6"/>
        <v>Producto: Plátano vianda extradenso Palacio de la Revolución</v>
      </c>
    </row>
    <row r="147" spans="1:11" ht="15" customHeight="1" x14ac:dyDescent="0.2">
      <c r="A147" s="1518" t="s">
        <v>45</v>
      </c>
      <c r="B147" s="1095">
        <v>5.0999999999999996</v>
      </c>
      <c r="C147" s="1244">
        <f>C139*2%</f>
        <v>424.88928205601945</v>
      </c>
      <c r="D147" s="1244">
        <f>D139*2%</f>
        <v>2722.8864000000003</v>
      </c>
      <c r="E147" s="1498">
        <f t="shared" si="7"/>
        <v>0.94478007545730647</v>
      </c>
      <c r="F147" s="1544" t="str">
        <f t="shared" si="6"/>
        <v>Producto: Plátano vianda extradenso Palacio de la Revolución</v>
      </c>
    </row>
    <row r="148" spans="1:11" ht="15" customHeight="1" x14ac:dyDescent="0.2">
      <c r="A148" s="1518" t="s">
        <v>909</v>
      </c>
      <c r="B148" s="1095">
        <v>5.2</v>
      </c>
      <c r="C148" s="1519"/>
      <c r="D148" s="1244"/>
      <c r="E148" s="1498">
        <f t="shared" si="7"/>
        <v>0</v>
      </c>
      <c r="F148" s="1544" t="str">
        <f t="shared" si="6"/>
        <v>Producto: Plátano vianda extradenso Palacio de la Revolución</v>
      </c>
    </row>
    <row r="149" spans="1:11" ht="15" customHeight="1" x14ac:dyDescent="0.2">
      <c r="A149" s="1518" t="s">
        <v>635</v>
      </c>
      <c r="B149" s="1095">
        <v>6</v>
      </c>
      <c r="C149" s="1519"/>
      <c r="D149" s="1244">
        <f>D150+D151</f>
        <v>0</v>
      </c>
      <c r="E149" s="1498">
        <f t="shared" si="7"/>
        <v>0</v>
      </c>
      <c r="F149" s="1544" t="str">
        <f t="shared" si="6"/>
        <v>Producto: Plátano vianda extradenso Palacio de la Revolución</v>
      </c>
      <c r="G149" s="1498"/>
      <c r="H149" s="1498"/>
    </row>
    <row r="150" spans="1:11" ht="15" customHeight="1" x14ac:dyDescent="0.2">
      <c r="A150" s="1518" t="s">
        <v>45</v>
      </c>
      <c r="B150" s="1095">
        <v>6.1</v>
      </c>
      <c r="C150" s="1519"/>
      <c r="D150" s="1244"/>
      <c r="E150" s="1498">
        <f t="shared" si="7"/>
        <v>0</v>
      </c>
      <c r="F150" s="1544" t="str">
        <f t="shared" si="6"/>
        <v>Producto: Plátano vianda extradenso Palacio de la Revolución</v>
      </c>
    </row>
    <row r="151" spans="1:11" ht="15" customHeight="1" x14ac:dyDescent="0.2">
      <c r="A151" s="1518" t="s">
        <v>909</v>
      </c>
      <c r="B151" s="1095">
        <v>6.2</v>
      </c>
      <c r="C151" s="1519"/>
      <c r="D151" s="1244"/>
      <c r="E151" s="1498">
        <f t="shared" si="7"/>
        <v>0</v>
      </c>
      <c r="F151" s="1544" t="str">
        <f t="shared" si="6"/>
        <v>Producto: Plátano vianda extradenso Palacio de la Revolución</v>
      </c>
    </row>
    <row r="152" spans="1:11" ht="15" customHeight="1" x14ac:dyDescent="0.2">
      <c r="A152" s="1518" t="s">
        <v>1375</v>
      </c>
      <c r="B152" s="1095">
        <v>7</v>
      </c>
      <c r="C152" s="1244">
        <f>C134+C139+C141+C143+C146</f>
        <v>42372.887307941026</v>
      </c>
      <c r="D152" s="1244">
        <f>D134+D139+D141+D143+D146</f>
        <v>234987.52000000002</v>
      </c>
      <c r="E152" s="1498">
        <f t="shared" si="7"/>
        <v>81.535361474178757</v>
      </c>
      <c r="F152" s="1544" t="str">
        <f t="shared" si="6"/>
        <v>Producto: Plátano vianda extradenso Palacio de la Revolución</v>
      </c>
    </row>
    <row r="153" spans="1:11" ht="15" customHeight="1" x14ac:dyDescent="0.2">
      <c r="A153" s="1518" t="s">
        <v>910</v>
      </c>
      <c r="B153" s="1095">
        <v>8</v>
      </c>
      <c r="C153" s="1519"/>
      <c r="D153" s="1521">
        <f>DATOS!H24</f>
        <v>0</v>
      </c>
      <c r="E153" s="1498">
        <f t="shared" si="7"/>
        <v>0</v>
      </c>
      <c r="F153" s="1544" t="str">
        <f t="shared" si="6"/>
        <v>Producto: Plátano vianda extradenso Palacio de la Revolución</v>
      </c>
    </row>
    <row r="154" spans="1:11" ht="15" customHeight="1" x14ac:dyDescent="0.2">
      <c r="A154" s="1516" t="s">
        <v>911</v>
      </c>
      <c r="B154" s="1095">
        <v>9</v>
      </c>
      <c r="C154" s="1519"/>
      <c r="D154" s="1521"/>
      <c r="E154" s="1498">
        <f t="shared" si="7"/>
        <v>0</v>
      </c>
      <c r="F154" s="1544" t="str">
        <f t="shared" si="6"/>
        <v>Producto: Plátano vianda extradenso Palacio de la Revolución</v>
      </c>
    </row>
    <row r="155" spans="1:11" ht="15" customHeight="1" x14ac:dyDescent="0.2">
      <c r="A155" s="1518" t="s">
        <v>913</v>
      </c>
      <c r="B155" s="1095">
        <v>10</v>
      </c>
      <c r="C155" s="1244">
        <f>(C139+C144+C147)*12.5%</f>
        <v>2788.3359134926272</v>
      </c>
      <c r="D155" s="1244">
        <f>(D139+D144+D147)*12.5%</f>
        <v>17358.400799999999</v>
      </c>
      <c r="E155" s="1498">
        <f t="shared" si="7"/>
        <v>6.0229729810403283</v>
      </c>
      <c r="F155" s="1544" t="str">
        <f t="shared" si="6"/>
        <v>Producto: Plátano vianda extradenso Palacio de la Revolución</v>
      </c>
    </row>
    <row r="156" spans="1:11" ht="15" customHeight="1" x14ac:dyDescent="0.2">
      <c r="A156" s="1516" t="s">
        <v>912</v>
      </c>
      <c r="B156" s="1095">
        <v>11</v>
      </c>
      <c r="C156" s="1244">
        <f>(C139+C144+C147)*1.5%</f>
        <v>334.60030961911525</v>
      </c>
      <c r="D156" s="1244">
        <f>(D139+D144+D147)*1.5%</f>
        <v>2083.008096</v>
      </c>
      <c r="E156" s="1498">
        <f t="shared" si="7"/>
        <v>0.72275675772483938</v>
      </c>
      <c r="F156" s="1544" t="str">
        <f t="shared" si="6"/>
        <v>Producto: Plátano vianda extradenso Palacio de la Revolución</v>
      </c>
    </row>
    <row r="157" spans="1:11" ht="15" customHeight="1" x14ac:dyDescent="0.2">
      <c r="A157" s="1518" t="s">
        <v>1475</v>
      </c>
      <c r="B157" s="1095">
        <v>12</v>
      </c>
      <c r="C157" s="1519"/>
      <c r="D157" s="1244"/>
      <c r="E157" s="1498">
        <f t="shared" si="7"/>
        <v>0</v>
      </c>
      <c r="F157" s="1544" t="str">
        <f t="shared" si="6"/>
        <v>Producto: Plátano vianda extradenso Palacio de la Revolución</v>
      </c>
    </row>
    <row r="158" spans="1:11" ht="15" customHeight="1" x14ac:dyDescent="0.2">
      <c r="A158" s="1516" t="s">
        <v>640</v>
      </c>
      <c r="B158" s="1095">
        <v>13</v>
      </c>
      <c r="C158" s="1517">
        <f>(190*21.74*D130)*5%</f>
        <v>6195.9</v>
      </c>
      <c r="D158" s="1244">
        <f>(DATOS!P10*'FICHA DE COSTO'!D130)*5%</f>
        <v>33774.270000000004</v>
      </c>
      <c r="E158" s="1498">
        <f t="shared" si="7"/>
        <v>11.71890878705606</v>
      </c>
      <c r="F158" s="1544" t="str">
        <f t="shared" si="6"/>
        <v>Producto: Plátano vianda extradenso Palacio de la Revolución</v>
      </c>
      <c r="G158" s="1098"/>
      <c r="H158" s="1098"/>
      <c r="I158" s="1098"/>
      <c r="J158" s="1098"/>
      <c r="K158" s="1098"/>
    </row>
    <row r="159" spans="1:11" ht="15" customHeight="1" x14ac:dyDescent="0.2">
      <c r="A159" s="1516" t="s">
        <v>914</v>
      </c>
      <c r="B159" s="1095">
        <v>14</v>
      </c>
      <c r="C159" s="1519"/>
      <c r="D159" s="1244"/>
      <c r="E159" s="1498">
        <f t="shared" si="7"/>
        <v>0</v>
      </c>
      <c r="F159" s="1544" t="str">
        <f t="shared" si="6"/>
        <v>Producto: Plátano vianda extradenso Palacio de la Revolución</v>
      </c>
      <c r="G159" s="1098"/>
      <c r="H159" s="1098"/>
      <c r="I159" s="1098"/>
      <c r="J159" s="1098"/>
      <c r="K159" s="1098"/>
    </row>
    <row r="160" spans="1:11" ht="15" customHeight="1" x14ac:dyDescent="0.2">
      <c r="A160" s="1516" t="s">
        <v>915</v>
      </c>
      <c r="B160" s="1095">
        <v>15</v>
      </c>
      <c r="C160" s="1519"/>
      <c r="D160" s="1244"/>
      <c r="E160" s="1498">
        <f t="shared" si="7"/>
        <v>0</v>
      </c>
      <c r="F160" s="1544" t="str">
        <f t="shared" si="6"/>
        <v>Producto: Plátano vianda extradenso Palacio de la Revolución</v>
      </c>
      <c r="G160" s="1098"/>
      <c r="H160" s="1098"/>
      <c r="I160" s="1098"/>
      <c r="J160" s="1098"/>
      <c r="K160" s="1098"/>
    </row>
    <row r="161" spans="1:11" ht="15" customHeight="1" x14ac:dyDescent="0.2">
      <c r="A161" s="1516" t="s">
        <v>916</v>
      </c>
      <c r="B161" s="1095">
        <v>16</v>
      </c>
      <c r="C161" s="1519"/>
      <c r="D161" s="1244"/>
      <c r="E161" s="1498">
        <f t="shared" si="7"/>
        <v>0</v>
      </c>
      <c r="F161" s="1544" t="str">
        <f t="shared" si="6"/>
        <v>Producto: Plátano vianda extradenso Palacio de la Revolución</v>
      </c>
      <c r="G161" s="1098"/>
      <c r="H161" s="1098"/>
      <c r="I161" s="1098"/>
      <c r="J161" s="1098"/>
      <c r="K161" s="1098"/>
    </row>
    <row r="162" spans="1:11" ht="15" customHeight="1" x14ac:dyDescent="0.2">
      <c r="A162" s="1516" t="s">
        <v>1376</v>
      </c>
      <c r="B162" s="1095">
        <v>17</v>
      </c>
      <c r="C162" s="1244">
        <f>C152+C153+C154+C155+C156+C157+C158+C159+C160+C161</f>
        <v>51691.723531052769</v>
      </c>
      <c r="D162" s="1244">
        <f>D152+D153+D154+D155+D156+D157+D158+D159+D160+D161</f>
        <v>288203.19889600005</v>
      </c>
      <c r="E162" s="1498">
        <f t="shared" si="7"/>
        <v>100</v>
      </c>
      <c r="F162" s="1544" t="str">
        <f t="shared" si="6"/>
        <v>Producto: Plátano vianda extradenso Palacio de la Revolución</v>
      </c>
      <c r="G162" s="1098"/>
      <c r="H162" s="1098"/>
      <c r="I162" s="1098"/>
      <c r="J162" s="1098"/>
      <c r="K162" s="1098"/>
    </row>
    <row r="163" spans="1:11" ht="15" customHeight="1" x14ac:dyDescent="0.2">
      <c r="A163" s="1516" t="s">
        <v>17</v>
      </c>
      <c r="B163" s="1095">
        <v>18</v>
      </c>
      <c r="C163" s="1244">
        <f>C162+DATOS!Q24</f>
        <v>51691.723531052769</v>
      </c>
      <c r="D163" s="1244">
        <f>D162+DATOS!R24</f>
        <v>288203.19889600005</v>
      </c>
      <c r="E163" s="1498">
        <f t="shared" si="7"/>
        <v>100</v>
      </c>
      <c r="F163" s="1544" t="str">
        <f t="shared" si="6"/>
        <v>Producto: Plátano vianda extradenso Palacio de la Revolución</v>
      </c>
      <c r="G163" s="1098"/>
      <c r="H163" s="1098"/>
      <c r="I163" s="1098"/>
      <c r="J163" s="1098"/>
      <c r="K163" s="1098"/>
    </row>
    <row r="164" spans="1:11" ht="15" customHeight="1" x14ac:dyDescent="0.2">
      <c r="A164" s="1516" t="s">
        <v>18</v>
      </c>
      <c r="B164" s="1095">
        <v>19</v>
      </c>
      <c r="C164" s="1244">
        <f>C163/D130</f>
        <v>1723.0574510350923</v>
      </c>
      <c r="D164" s="1244">
        <f>D163/D130</f>
        <v>9606.7732965333344</v>
      </c>
      <c r="E164" s="1498"/>
      <c r="F164" s="1544" t="str">
        <f t="shared" si="6"/>
        <v>Producto: Plátano vianda extradenso Palacio de la Revolución</v>
      </c>
      <c r="G164" s="1098"/>
      <c r="H164" s="1098"/>
      <c r="I164" s="1098"/>
      <c r="J164" s="1098"/>
      <c r="K164" s="1098"/>
    </row>
    <row r="165" spans="1:11" s="1493" customFormat="1" ht="15" customHeight="1" x14ac:dyDescent="0.25">
      <c r="A165" s="1012" t="s">
        <v>2081</v>
      </c>
      <c r="B165" s="1013">
        <v>20</v>
      </c>
      <c r="C165" s="1537">
        <f>C164/21.74</f>
        <v>79.2574724487163</v>
      </c>
      <c r="D165" s="1537">
        <f>D164/21.74*1.3</f>
        <v>574.46206465010744</v>
      </c>
      <c r="E165" s="1683"/>
      <c r="F165" s="1544" t="str">
        <f t="shared" si="6"/>
        <v>Producto: Plátano vianda extradenso Palacio de la Revolución</v>
      </c>
    </row>
    <row r="166" spans="1:11" ht="15" customHeight="1" x14ac:dyDescent="0.2">
      <c r="A166" s="1499" t="s">
        <v>249</v>
      </c>
      <c r="B166" s="1480"/>
      <c r="C166" s="1522"/>
      <c r="D166" s="1523"/>
      <c r="E166" s="1498"/>
      <c r="F166" s="1544" t="str">
        <f t="shared" si="6"/>
        <v>Producto: Plátano vianda extradenso Palacio de la Revolución</v>
      </c>
    </row>
    <row r="167" spans="1:11" ht="15" customHeight="1" thickBot="1" x14ac:dyDescent="0.25">
      <c r="A167" s="1524"/>
      <c r="B167" s="1525"/>
      <c r="C167" s="1526"/>
      <c r="D167" s="1527"/>
      <c r="E167" s="1498"/>
      <c r="F167" s="1544" t="str">
        <f t="shared" si="6"/>
        <v>Producto: Plátano vianda extradenso Palacio de la Revolución</v>
      </c>
    </row>
    <row r="168" spans="1:11" ht="15" customHeight="1" x14ac:dyDescent="0.2">
      <c r="A168" s="1528" t="s">
        <v>1374</v>
      </c>
      <c r="B168" s="1529"/>
      <c r="C168" s="1530"/>
      <c r="D168" s="1531"/>
      <c r="E168" s="1684"/>
      <c r="F168" s="1544" t="str">
        <f t="shared" si="6"/>
        <v>Producto: Plátano vianda extradenso Palacio de la Revolución</v>
      </c>
    </row>
    <row r="169" spans="1:11" ht="15" customHeight="1" thickBot="1" x14ac:dyDescent="0.25">
      <c r="A169" s="1794"/>
      <c r="B169" s="1795"/>
      <c r="C169" s="1795"/>
      <c r="D169" s="1796"/>
      <c r="E169" s="1628"/>
      <c r="F169" s="1544" t="str">
        <f t="shared" si="6"/>
        <v>Producto: Plátano vianda extradenso Palacio de la Revolución</v>
      </c>
    </row>
    <row r="170" spans="1:11" s="1493" customFormat="1" ht="15" customHeight="1" x14ac:dyDescent="0.25">
      <c r="A170" s="1788" t="s">
        <v>2093</v>
      </c>
      <c r="B170" s="1789"/>
      <c r="C170" s="1789"/>
      <c r="D170" s="1790"/>
      <c r="E170" s="1628"/>
      <c r="F170" s="1545" t="str">
        <f t="shared" ref="F170:F211" si="8">A$172</f>
        <v>Producto: Plátano burro  Palacio de la Revolución</v>
      </c>
      <c r="G170" s="1491"/>
      <c r="H170" s="1491"/>
      <c r="I170" s="1492"/>
      <c r="J170" s="1492"/>
      <c r="K170" s="1492"/>
    </row>
    <row r="171" spans="1:11" s="1493" customFormat="1" ht="15" customHeight="1" x14ac:dyDescent="0.25">
      <c r="A171" s="1791" t="s">
        <v>1854</v>
      </c>
      <c r="B171" s="1792"/>
      <c r="C171" s="1792"/>
      <c r="D171" s="1793"/>
      <c r="E171" s="1628"/>
      <c r="F171" s="1545" t="str">
        <f t="shared" si="8"/>
        <v>Producto: Plátano burro  Palacio de la Revolución</v>
      </c>
      <c r="G171" s="1491"/>
      <c r="H171" s="1491"/>
      <c r="I171" s="1492"/>
      <c r="J171" s="1492"/>
      <c r="K171" s="1492"/>
    </row>
    <row r="172" spans="1:11" ht="15" customHeight="1" x14ac:dyDescent="0.2">
      <c r="A172" s="1499" t="s">
        <v>2090</v>
      </c>
      <c r="B172" s="1784" t="s">
        <v>278</v>
      </c>
      <c r="C172" s="1785"/>
      <c r="D172" s="1618">
        <v>10</v>
      </c>
      <c r="E172" s="1680"/>
      <c r="F172" s="1544" t="str">
        <f t="shared" si="8"/>
        <v>Producto: Plátano burro  Palacio de la Revolución</v>
      </c>
    </row>
    <row r="173" spans="1:11" s="1501" customFormat="1" ht="15" customHeight="1" thickBot="1" x14ac:dyDescent="0.25">
      <c r="A173" s="1500" t="s">
        <v>637</v>
      </c>
      <c r="C173" s="1502"/>
      <c r="D173" s="1503"/>
      <c r="E173" s="1681"/>
      <c r="F173" s="1544" t="str">
        <f t="shared" si="8"/>
        <v>Producto: Plátano burro  Palacio de la Revolución</v>
      </c>
      <c r="H173" s="1504"/>
      <c r="I173" s="1505"/>
      <c r="J173" s="1505"/>
      <c r="K173" s="1505"/>
    </row>
    <row r="174" spans="1:11" s="1511" customFormat="1" ht="32.25" customHeight="1" thickBot="1" x14ac:dyDescent="0.25">
      <c r="A174" s="1532" t="s">
        <v>1368</v>
      </c>
      <c r="B174" s="1532" t="s">
        <v>242</v>
      </c>
      <c r="C174" s="1533" t="s">
        <v>1976</v>
      </c>
      <c r="D174" s="1532" t="s">
        <v>1369</v>
      </c>
      <c r="E174" s="1682"/>
      <c r="F174" s="1544" t="str">
        <f t="shared" si="8"/>
        <v>Producto: Plátano burro  Palacio de la Revolución</v>
      </c>
      <c r="G174" s="1509"/>
      <c r="H174" s="1509"/>
      <c r="I174" s="1510"/>
      <c r="J174" s="1510"/>
      <c r="K174" s="1510"/>
    </row>
    <row r="175" spans="1:11" ht="15" customHeight="1" x14ac:dyDescent="0.2">
      <c r="A175" s="1512">
        <v>1</v>
      </c>
      <c r="B175" s="1513">
        <v>2</v>
      </c>
      <c r="C175" s="1514">
        <v>3</v>
      </c>
      <c r="D175" s="1515">
        <v>4</v>
      </c>
      <c r="E175" s="1679"/>
      <c r="F175" s="1544" t="str">
        <f t="shared" si="8"/>
        <v>Producto: Plátano burro  Palacio de la Revolución</v>
      </c>
      <c r="G175" s="1498"/>
      <c r="H175" s="1498"/>
    </row>
    <row r="176" spans="1:11" ht="15" customHeight="1" x14ac:dyDescent="0.2">
      <c r="A176" s="1516" t="s">
        <v>905</v>
      </c>
      <c r="B176" s="1095">
        <v>1</v>
      </c>
      <c r="C176" s="1244">
        <f>C177+C178+C179+C180</f>
        <v>3509.52</v>
      </c>
      <c r="D176" s="1244">
        <f>D177+D178+D179+D180</f>
        <v>35008.160000000003</v>
      </c>
      <c r="E176" s="1498">
        <f>D176/D$205%</f>
        <v>14.471160298211423</v>
      </c>
      <c r="F176" s="1544" t="str">
        <f t="shared" si="8"/>
        <v>Producto: Plátano burro  Palacio de la Revolución</v>
      </c>
      <c r="G176" s="1498"/>
      <c r="H176" s="1498"/>
      <c r="I176" s="1498"/>
    </row>
    <row r="177" spans="1:9" ht="15" customHeight="1" x14ac:dyDescent="0.2">
      <c r="A177" s="1516" t="s">
        <v>906</v>
      </c>
      <c r="B177" s="1095">
        <v>1.1000000000000001</v>
      </c>
      <c r="C177" s="1517">
        <f>IM!E123</f>
        <v>3070</v>
      </c>
      <c r="D177" s="1244">
        <f>IM!H123</f>
        <v>12710.16</v>
      </c>
      <c r="E177" s="1498">
        <f t="shared" ref="E177:E207" si="9">D177/D$205%</f>
        <v>5.2539397322199992</v>
      </c>
      <c r="F177" s="1544" t="str">
        <f t="shared" si="8"/>
        <v>Producto: Plátano burro  Palacio de la Revolución</v>
      </c>
      <c r="G177" s="1498"/>
      <c r="H177" s="1498"/>
      <c r="I177" s="1498"/>
    </row>
    <row r="178" spans="1:9" ht="15" customHeight="1" x14ac:dyDescent="0.2">
      <c r="A178" s="1518" t="s">
        <v>909</v>
      </c>
      <c r="B178" s="1095">
        <v>1.2</v>
      </c>
      <c r="C178" s="1519"/>
      <c r="D178" s="1244">
        <f>IM!H126</f>
        <v>2502</v>
      </c>
      <c r="E178" s="1498">
        <f t="shared" si="9"/>
        <v>1.0342401047677163</v>
      </c>
      <c r="F178" s="1544" t="str">
        <f t="shared" si="8"/>
        <v>Producto: Plátano burro  Palacio de la Revolución</v>
      </c>
    </row>
    <row r="179" spans="1:9" ht="15" customHeight="1" x14ac:dyDescent="0.2">
      <c r="A179" s="1516" t="s">
        <v>1472</v>
      </c>
      <c r="B179" s="1095">
        <v>1.3</v>
      </c>
      <c r="C179" s="1517">
        <f>IM!E127</f>
        <v>288.32</v>
      </c>
      <c r="D179" s="1244">
        <f>IM!H127</f>
        <v>18500</v>
      </c>
      <c r="E179" s="1498">
        <f t="shared" si="9"/>
        <v>7.6472589681066161</v>
      </c>
      <c r="F179" s="1544" t="str">
        <f t="shared" si="8"/>
        <v>Producto: Plátano burro  Palacio de la Revolución</v>
      </c>
    </row>
    <row r="180" spans="1:9" ht="15" customHeight="1" x14ac:dyDescent="0.2">
      <c r="A180" s="1516" t="s">
        <v>283</v>
      </c>
      <c r="B180" s="1095">
        <v>1.4</v>
      </c>
      <c r="C180" s="1517">
        <f>IM!E125</f>
        <v>151.20000000000002</v>
      </c>
      <c r="D180" s="1244">
        <f>IM!H125</f>
        <v>1296</v>
      </c>
      <c r="E180" s="1498">
        <f t="shared" si="9"/>
        <v>0.5357214931170905</v>
      </c>
      <c r="F180" s="1544" t="str">
        <f t="shared" si="8"/>
        <v>Producto: Plátano burro  Palacio de la Revolución</v>
      </c>
      <c r="G180" s="1498"/>
      <c r="H180" s="1498"/>
    </row>
    <row r="181" spans="1:9" ht="15" customHeight="1" x14ac:dyDescent="0.2">
      <c r="A181" s="1520" t="s">
        <v>1473</v>
      </c>
      <c r="B181" s="1095">
        <v>2</v>
      </c>
      <c r="C181" s="1517">
        <f>[6]SALARIOS!$F$73+[6]SALARIOS!$G$73</f>
        <v>10036.280000000001</v>
      </c>
      <c r="D181" s="1244">
        <f>SALARIOS!F73+SALARIOS!G73</f>
        <v>136144.32000000001</v>
      </c>
      <c r="E181" s="1498">
        <f t="shared" si="9"/>
        <v>56.277344436582538</v>
      </c>
      <c r="F181" s="1544" t="str">
        <f t="shared" si="8"/>
        <v>Producto: Plátano burro  Palacio de la Revolución</v>
      </c>
    </row>
    <row r="182" spans="1:9" ht="15" customHeight="1" x14ac:dyDescent="0.2">
      <c r="A182" s="1518" t="s">
        <v>907</v>
      </c>
      <c r="B182" s="1095" t="s">
        <v>917</v>
      </c>
      <c r="C182" s="1519"/>
      <c r="D182" s="1244"/>
      <c r="E182" s="1498">
        <f t="shared" si="9"/>
        <v>0</v>
      </c>
      <c r="F182" s="1544" t="str">
        <f t="shared" si="8"/>
        <v>Producto: Plátano burro  Palacio de la Revolución</v>
      </c>
    </row>
    <row r="183" spans="1:9" ht="15" customHeight="1" x14ac:dyDescent="0.2">
      <c r="A183" s="1518" t="s">
        <v>634</v>
      </c>
      <c r="B183" s="1095">
        <v>3</v>
      </c>
      <c r="C183" s="1244">
        <f>C184</f>
        <v>7500</v>
      </c>
      <c r="D183" s="1244">
        <v>40000</v>
      </c>
      <c r="E183" s="1498">
        <f t="shared" si="9"/>
        <v>16.534613985095387</v>
      </c>
      <c r="F183" s="1544" t="str">
        <f t="shared" si="8"/>
        <v>Producto: Plátano burro  Palacio de la Revolución</v>
      </c>
      <c r="G183" s="1498"/>
      <c r="H183" s="1498"/>
    </row>
    <row r="184" spans="1:9" ht="15" customHeight="1" x14ac:dyDescent="0.2">
      <c r="A184" s="1518" t="s">
        <v>1474</v>
      </c>
      <c r="B184" s="1095">
        <v>3.1</v>
      </c>
      <c r="C184" s="1244">
        <v>7500</v>
      </c>
      <c r="D184" s="1244">
        <v>8000</v>
      </c>
      <c r="E184" s="1498">
        <f t="shared" si="9"/>
        <v>3.3069227970190771</v>
      </c>
      <c r="F184" s="1544" t="str">
        <f t="shared" si="8"/>
        <v>Producto: Plátano burro  Palacio de la Revolución</v>
      </c>
      <c r="G184" s="1498"/>
      <c r="H184" s="1498"/>
    </row>
    <row r="185" spans="1:9" ht="15" customHeight="1" x14ac:dyDescent="0.2">
      <c r="A185" s="1518" t="s">
        <v>908</v>
      </c>
      <c r="B185" s="1095">
        <v>4</v>
      </c>
      <c r="C185" s="1244">
        <f>C186</f>
        <v>301.08840000000004</v>
      </c>
      <c r="D185" s="1244">
        <v>5000</v>
      </c>
      <c r="E185" s="1498">
        <f t="shared" si="9"/>
        <v>2.0668267481369234</v>
      </c>
      <c r="F185" s="1544" t="str">
        <f t="shared" si="8"/>
        <v>Producto: Plátano burro  Palacio de la Revolución</v>
      </c>
    </row>
    <row r="186" spans="1:9" ht="15" customHeight="1" x14ac:dyDescent="0.2">
      <c r="A186" s="1518" t="s">
        <v>45</v>
      </c>
      <c r="B186" s="1095">
        <v>4.0999999999999996</v>
      </c>
      <c r="C186" s="1244">
        <f>C181*3%</f>
        <v>301.08840000000004</v>
      </c>
      <c r="D186" s="1244"/>
      <c r="E186" s="1498">
        <f t="shared" si="9"/>
        <v>0</v>
      </c>
      <c r="F186" s="1544" t="str">
        <f t="shared" si="8"/>
        <v>Producto: Plátano burro  Palacio de la Revolución</v>
      </c>
    </row>
    <row r="187" spans="1:9" ht="15" customHeight="1" x14ac:dyDescent="0.2">
      <c r="A187" s="1518" t="s">
        <v>909</v>
      </c>
      <c r="B187" s="1095">
        <v>4.2</v>
      </c>
      <c r="C187" s="1519"/>
      <c r="D187" s="1244"/>
      <c r="E187" s="1498">
        <f t="shared" si="9"/>
        <v>0</v>
      </c>
      <c r="F187" s="1544" t="str">
        <f t="shared" si="8"/>
        <v>Producto: Plátano burro  Palacio de la Revolución</v>
      </c>
    </row>
    <row r="188" spans="1:9" ht="15" customHeight="1" x14ac:dyDescent="0.2">
      <c r="A188" s="1518" t="s">
        <v>228</v>
      </c>
      <c r="B188" s="1095">
        <v>5</v>
      </c>
      <c r="C188" s="1244">
        <f>C189</f>
        <v>200.72560000000001</v>
      </c>
      <c r="D188" s="1244">
        <f>D189</f>
        <v>2722.8864000000003</v>
      </c>
      <c r="E188" s="1498">
        <f t="shared" si="9"/>
        <v>1.1255468887316509</v>
      </c>
      <c r="F188" s="1544" t="str">
        <f t="shared" si="8"/>
        <v>Producto: Plátano burro  Palacio de la Revolución</v>
      </c>
    </row>
    <row r="189" spans="1:9" ht="15" customHeight="1" x14ac:dyDescent="0.2">
      <c r="A189" s="1518" t="s">
        <v>45</v>
      </c>
      <c r="B189" s="1095">
        <v>5.0999999999999996</v>
      </c>
      <c r="C189" s="1244">
        <f>C181*2%</f>
        <v>200.72560000000001</v>
      </c>
      <c r="D189" s="1244">
        <f>D181*2%</f>
        <v>2722.8864000000003</v>
      </c>
      <c r="E189" s="1498">
        <f t="shared" si="9"/>
        <v>1.1255468887316509</v>
      </c>
      <c r="F189" s="1544" t="str">
        <f t="shared" si="8"/>
        <v>Producto: Plátano burro  Palacio de la Revolución</v>
      </c>
    </row>
    <row r="190" spans="1:9" ht="15" customHeight="1" x14ac:dyDescent="0.2">
      <c r="A190" s="1518" t="s">
        <v>909</v>
      </c>
      <c r="B190" s="1095">
        <v>5.2</v>
      </c>
      <c r="C190" s="1519"/>
      <c r="D190" s="1244"/>
      <c r="E190" s="1498">
        <f t="shared" si="9"/>
        <v>0</v>
      </c>
      <c r="F190" s="1544" t="str">
        <f t="shared" si="8"/>
        <v>Producto: Plátano burro  Palacio de la Revolución</v>
      </c>
    </row>
    <row r="191" spans="1:9" ht="15" customHeight="1" x14ac:dyDescent="0.2">
      <c r="A191" s="1518" t="s">
        <v>635</v>
      </c>
      <c r="B191" s="1095">
        <v>6</v>
      </c>
      <c r="C191" s="1519"/>
      <c r="D191" s="1244">
        <f>D192+D193</f>
        <v>0</v>
      </c>
      <c r="E191" s="1498">
        <f t="shared" si="9"/>
        <v>0</v>
      </c>
      <c r="F191" s="1544" t="str">
        <f t="shared" si="8"/>
        <v>Producto: Plátano burro  Palacio de la Revolución</v>
      </c>
      <c r="G191" s="1498"/>
      <c r="H191" s="1498"/>
    </row>
    <row r="192" spans="1:9" ht="15" customHeight="1" x14ac:dyDescent="0.2">
      <c r="A192" s="1518" t="s">
        <v>45</v>
      </c>
      <c r="B192" s="1095">
        <v>6.1</v>
      </c>
      <c r="C192" s="1519"/>
      <c r="D192" s="1244"/>
      <c r="E192" s="1498">
        <f t="shared" si="9"/>
        <v>0</v>
      </c>
      <c r="F192" s="1544" t="str">
        <f t="shared" si="8"/>
        <v>Producto: Plátano burro  Palacio de la Revolución</v>
      </c>
    </row>
    <row r="193" spans="1:11" ht="15" customHeight="1" x14ac:dyDescent="0.2">
      <c r="A193" s="1518" t="s">
        <v>909</v>
      </c>
      <c r="B193" s="1095">
        <v>6.2</v>
      </c>
      <c r="C193" s="1519"/>
      <c r="D193" s="1244"/>
      <c r="E193" s="1498">
        <f t="shared" si="9"/>
        <v>0</v>
      </c>
      <c r="F193" s="1544" t="str">
        <f t="shared" si="8"/>
        <v>Producto: Plátano burro  Palacio de la Revolución</v>
      </c>
    </row>
    <row r="194" spans="1:11" ht="15" customHeight="1" x14ac:dyDescent="0.2">
      <c r="A194" s="1518" t="s">
        <v>1375</v>
      </c>
      <c r="B194" s="1095">
        <v>7</v>
      </c>
      <c r="C194" s="1244">
        <f>C176+C181+C183+C185+C188</f>
        <v>21547.614000000005</v>
      </c>
      <c r="D194" s="1244">
        <f>D176+D181+D183+D185+D188</f>
        <v>218875.3664</v>
      </c>
      <c r="E194" s="1498">
        <f t="shared" si="9"/>
        <v>90.475492356757911</v>
      </c>
      <c r="F194" s="1544" t="str">
        <f t="shared" si="8"/>
        <v>Producto: Plátano burro  Palacio de la Revolución</v>
      </c>
    </row>
    <row r="195" spans="1:11" ht="15" customHeight="1" x14ac:dyDescent="0.2">
      <c r="A195" s="1518" t="s">
        <v>910</v>
      </c>
      <c r="B195" s="1095">
        <v>8</v>
      </c>
      <c r="C195" s="1519"/>
      <c r="D195" s="1521">
        <f>DATOS!H23</f>
        <v>0</v>
      </c>
      <c r="E195" s="1498">
        <f t="shared" si="9"/>
        <v>0</v>
      </c>
      <c r="F195" s="1544" t="str">
        <f t="shared" si="8"/>
        <v>Producto: Plátano burro  Palacio de la Revolución</v>
      </c>
    </row>
    <row r="196" spans="1:11" ht="15" customHeight="1" x14ac:dyDescent="0.2">
      <c r="A196" s="1516" t="s">
        <v>911</v>
      </c>
      <c r="B196" s="1095">
        <v>9</v>
      </c>
      <c r="C196" s="1519"/>
      <c r="D196" s="1521"/>
      <c r="E196" s="1498">
        <f t="shared" si="9"/>
        <v>0</v>
      </c>
      <c r="F196" s="1544" t="str">
        <f t="shared" si="8"/>
        <v>Producto: Plátano burro  Palacio de la Revolución</v>
      </c>
    </row>
    <row r="197" spans="1:11" ht="15" customHeight="1" x14ac:dyDescent="0.2">
      <c r="A197" s="1518" t="s">
        <v>913</v>
      </c>
      <c r="B197" s="1095">
        <v>10</v>
      </c>
      <c r="C197" s="1244">
        <f>(C181+C186+C189)*12.5%</f>
        <v>1317.2617500000001</v>
      </c>
      <c r="D197" s="1244">
        <f>(D181+D186+D189)*12.5%</f>
        <v>17358.400799999999</v>
      </c>
      <c r="E197" s="1498">
        <f t="shared" si="9"/>
        <v>7.1753614156642733</v>
      </c>
      <c r="F197" s="1544" t="str">
        <f t="shared" si="8"/>
        <v>Producto: Plátano burro  Palacio de la Revolución</v>
      </c>
    </row>
    <row r="198" spans="1:11" ht="15" customHeight="1" x14ac:dyDescent="0.2">
      <c r="A198" s="1516" t="s">
        <v>912</v>
      </c>
      <c r="B198" s="1095">
        <v>11</v>
      </c>
      <c r="C198" s="1244">
        <f>(C181+C186+C189)*1.5%</f>
        <v>158.07141000000001</v>
      </c>
      <c r="D198" s="1244">
        <f>(D181+D186+D189)*1.5%</f>
        <v>2083.008096</v>
      </c>
      <c r="E198" s="1498">
        <f t="shared" si="9"/>
        <v>0.86104336987971286</v>
      </c>
      <c r="F198" s="1544" t="str">
        <f t="shared" si="8"/>
        <v>Producto: Plátano burro  Palacio de la Revolución</v>
      </c>
    </row>
    <row r="199" spans="1:11" ht="15" customHeight="1" x14ac:dyDescent="0.2">
      <c r="A199" s="1518" t="s">
        <v>1475</v>
      </c>
      <c r="B199" s="1095">
        <v>12</v>
      </c>
      <c r="C199" s="1519"/>
      <c r="D199" s="1244"/>
      <c r="E199" s="1498">
        <f t="shared" si="9"/>
        <v>0</v>
      </c>
      <c r="F199" s="1544" t="str">
        <f t="shared" si="8"/>
        <v>Producto: Plátano burro  Palacio de la Revolución</v>
      </c>
    </row>
    <row r="200" spans="1:11" ht="15" customHeight="1" x14ac:dyDescent="0.2">
      <c r="A200" s="1516" t="s">
        <v>640</v>
      </c>
      <c r="B200" s="1095">
        <v>13</v>
      </c>
      <c r="C200" s="1517">
        <f>(80*21.74*D172)*5%</f>
        <v>869.6</v>
      </c>
      <c r="D200" s="1244">
        <f>(DATOS!P11*'FICHA DE COSTO'!D172)*5%</f>
        <v>3599.97</v>
      </c>
      <c r="E200" s="1498">
        <f t="shared" si="9"/>
        <v>1.4881028576980959</v>
      </c>
      <c r="F200" s="1544" t="str">
        <f t="shared" si="8"/>
        <v>Producto: Plátano burro  Palacio de la Revolución</v>
      </c>
      <c r="G200" s="1098"/>
      <c r="H200" s="1098"/>
      <c r="I200" s="1098"/>
      <c r="J200" s="1098"/>
      <c r="K200" s="1098"/>
    </row>
    <row r="201" spans="1:11" ht="15" customHeight="1" x14ac:dyDescent="0.2">
      <c r="A201" s="1516" t="s">
        <v>914</v>
      </c>
      <c r="B201" s="1095">
        <v>14</v>
      </c>
      <c r="C201" s="1519"/>
      <c r="D201" s="1244"/>
      <c r="E201" s="1498">
        <f t="shared" si="9"/>
        <v>0</v>
      </c>
      <c r="F201" s="1544" t="str">
        <f t="shared" si="8"/>
        <v>Producto: Plátano burro  Palacio de la Revolución</v>
      </c>
      <c r="G201" s="1098"/>
      <c r="H201" s="1098"/>
      <c r="I201" s="1098"/>
      <c r="J201" s="1098"/>
      <c r="K201" s="1098"/>
    </row>
    <row r="202" spans="1:11" ht="15" customHeight="1" x14ac:dyDescent="0.2">
      <c r="A202" s="1516" t="s">
        <v>915</v>
      </c>
      <c r="B202" s="1095">
        <v>15</v>
      </c>
      <c r="C202" s="1519"/>
      <c r="D202" s="1244"/>
      <c r="E202" s="1498">
        <f t="shared" si="9"/>
        <v>0</v>
      </c>
      <c r="F202" s="1544" t="str">
        <f t="shared" si="8"/>
        <v>Producto: Plátano burro  Palacio de la Revolución</v>
      </c>
      <c r="G202" s="1098"/>
      <c r="H202" s="1098"/>
      <c r="I202" s="1098"/>
      <c r="J202" s="1098"/>
      <c r="K202" s="1098"/>
    </row>
    <row r="203" spans="1:11" ht="15" customHeight="1" x14ac:dyDescent="0.2">
      <c r="A203" s="1516" t="s">
        <v>916</v>
      </c>
      <c r="B203" s="1095">
        <v>16</v>
      </c>
      <c r="C203" s="1519"/>
      <c r="D203" s="1244"/>
      <c r="E203" s="1498">
        <f t="shared" si="9"/>
        <v>0</v>
      </c>
      <c r="F203" s="1544" t="str">
        <f t="shared" si="8"/>
        <v>Producto: Plátano burro  Palacio de la Revolución</v>
      </c>
      <c r="G203" s="1098"/>
      <c r="H203" s="1098"/>
      <c r="I203" s="1098"/>
      <c r="J203" s="1098"/>
      <c r="K203" s="1098"/>
    </row>
    <row r="204" spans="1:11" ht="15" customHeight="1" x14ac:dyDescent="0.2">
      <c r="A204" s="1516" t="s">
        <v>1376</v>
      </c>
      <c r="B204" s="1095">
        <v>17</v>
      </c>
      <c r="C204" s="1244">
        <f>C194+C195+C196+C197+C198+C199+C200+C201+C202+C203</f>
        <v>23892.547160000006</v>
      </c>
      <c r="D204" s="1244">
        <f>D194+D195+D196+D197+D198+D199+D200+D201+D202+D203</f>
        <v>241916.74529600001</v>
      </c>
      <c r="E204" s="1498">
        <f t="shared" si="9"/>
        <v>100</v>
      </c>
      <c r="F204" s="1544" t="str">
        <f t="shared" si="8"/>
        <v>Producto: Plátano burro  Palacio de la Revolución</v>
      </c>
      <c r="G204" s="1098"/>
      <c r="H204" s="1098"/>
      <c r="I204" s="1098"/>
      <c r="J204" s="1098"/>
      <c r="K204" s="1098"/>
    </row>
    <row r="205" spans="1:11" ht="15" customHeight="1" x14ac:dyDescent="0.2">
      <c r="A205" s="1516" t="s">
        <v>17</v>
      </c>
      <c r="B205" s="1095">
        <v>18</v>
      </c>
      <c r="C205" s="1244">
        <f>C204+DATOS!Q23</f>
        <v>23892.547160000006</v>
      </c>
      <c r="D205" s="1244">
        <f>D204+DATOS!R23</f>
        <v>241916.74529600001</v>
      </c>
      <c r="E205" s="1498">
        <f t="shared" si="9"/>
        <v>100</v>
      </c>
      <c r="F205" s="1544" t="str">
        <f t="shared" si="8"/>
        <v>Producto: Plátano burro  Palacio de la Revolución</v>
      </c>
      <c r="G205" s="1098"/>
      <c r="H205" s="1098"/>
      <c r="I205" s="1098"/>
      <c r="J205" s="1098"/>
      <c r="K205" s="1098"/>
    </row>
    <row r="206" spans="1:11" ht="15" customHeight="1" x14ac:dyDescent="0.2">
      <c r="A206" s="1516" t="s">
        <v>18</v>
      </c>
      <c r="B206" s="1095">
        <v>19</v>
      </c>
      <c r="C206" s="1244">
        <f>C205/D172</f>
        <v>2389.2547160000004</v>
      </c>
      <c r="D206" s="1244">
        <f>D205/D172</f>
        <v>24191.674529600001</v>
      </c>
      <c r="E206" s="1498">
        <f t="shared" si="9"/>
        <v>10</v>
      </c>
      <c r="F206" s="1544" t="str">
        <f t="shared" si="8"/>
        <v>Producto: Plátano burro  Palacio de la Revolución</v>
      </c>
      <c r="G206" s="1098"/>
      <c r="H206" s="1098"/>
      <c r="I206" s="1098"/>
      <c r="J206" s="1098"/>
      <c r="K206" s="1098"/>
    </row>
    <row r="207" spans="1:11" s="1493" customFormat="1" ht="15" customHeight="1" x14ac:dyDescent="0.25">
      <c r="A207" s="1012" t="s">
        <v>2081</v>
      </c>
      <c r="B207" s="1013">
        <v>20</v>
      </c>
      <c r="C207" s="1537">
        <f>C206/21.74</f>
        <v>109.9013208831647</v>
      </c>
      <c r="D207" s="1537">
        <f>D206/21.74*1.3</f>
        <v>1446.6042726991723</v>
      </c>
      <c r="E207" s="1498">
        <f t="shared" si="9"/>
        <v>0.5979760809567618</v>
      </c>
      <c r="F207" s="1544" t="str">
        <f t="shared" si="8"/>
        <v>Producto: Plátano burro  Palacio de la Revolución</v>
      </c>
    </row>
    <row r="208" spans="1:11" ht="15" customHeight="1" x14ac:dyDescent="0.2">
      <c r="A208" s="1499" t="s">
        <v>249</v>
      </c>
      <c r="B208" s="1480"/>
      <c r="C208" s="1522"/>
      <c r="D208" s="1523"/>
      <c r="E208" s="1498"/>
      <c r="F208" s="1544" t="str">
        <f t="shared" si="8"/>
        <v>Producto: Plátano burro  Palacio de la Revolución</v>
      </c>
    </row>
    <row r="209" spans="1:11" ht="15" customHeight="1" thickBot="1" x14ac:dyDescent="0.25">
      <c r="A209" s="1524"/>
      <c r="B209" s="1525"/>
      <c r="C209" s="1526"/>
      <c r="D209" s="1527"/>
      <c r="E209" s="1498"/>
      <c r="F209" s="1544" t="str">
        <f t="shared" si="8"/>
        <v>Producto: Plátano burro  Palacio de la Revolución</v>
      </c>
    </row>
    <row r="210" spans="1:11" ht="15" customHeight="1" x14ac:dyDescent="0.2">
      <c r="A210" s="1528" t="s">
        <v>1374</v>
      </c>
      <c r="B210" s="1529"/>
      <c r="C210" s="1530"/>
      <c r="D210" s="1531"/>
      <c r="E210" s="1684"/>
      <c r="F210" s="1544" t="str">
        <f t="shared" si="8"/>
        <v>Producto: Plátano burro  Palacio de la Revolución</v>
      </c>
    </row>
    <row r="211" spans="1:11" ht="15" customHeight="1" thickBot="1" x14ac:dyDescent="0.25">
      <c r="A211" s="1794"/>
      <c r="B211" s="1795"/>
      <c r="C211" s="1795"/>
      <c r="D211" s="1796"/>
      <c r="E211" s="1628"/>
      <c r="F211" s="1544" t="str">
        <f t="shared" si="8"/>
        <v>Producto: Plátano burro  Palacio de la Revolución</v>
      </c>
    </row>
    <row r="212" spans="1:11" s="1493" customFormat="1" ht="15" customHeight="1" x14ac:dyDescent="0.25">
      <c r="A212" s="1788" t="s">
        <v>2093</v>
      </c>
      <c r="B212" s="1789"/>
      <c r="C212" s="1789"/>
      <c r="D212" s="1790"/>
      <c r="E212" s="1628"/>
      <c r="F212" s="1545" t="str">
        <f t="shared" ref="F212:F253" si="10">A$214</f>
        <v>Producto: Plátano fruta  Palacio de la Revolución</v>
      </c>
      <c r="G212" s="1491"/>
      <c r="H212" s="1491"/>
      <c r="I212" s="1492"/>
      <c r="J212" s="1492"/>
      <c r="K212" s="1492"/>
    </row>
    <row r="213" spans="1:11" s="1493" customFormat="1" ht="15" customHeight="1" x14ac:dyDescent="0.25">
      <c r="A213" s="1791" t="s">
        <v>1852</v>
      </c>
      <c r="B213" s="1792"/>
      <c r="C213" s="1792"/>
      <c r="D213" s="1793"/>
      <c r="E213" s="1628"/>
      <c r="F213" s="1545" t="str">
        <f t="shared" si="10"/>
        <v>Producto: Plátano fruta  Palacio de la Revolución</v>
      </c>
      <c r="G213" s="1491"/>
      <c r="H213" s="1491"/>
      <c r="I213" s="1492"/>
      <c r="J213" s="1492"/>
      <c r="K213" s="1492"/>
    </row>
    <row r="214" spans="1:11" ht="15" customHeight="1" x14ac:dyDescent="0.2">
      <c r="A214" s="1499" t="s">
        <v>2091</v>
      </c>
      <c r="B214" s="1786" t="s">
        <v>278</v>
      </c>
      <c r="C214" s="1787"/>
      <c r="D214" s="1618">
        <v>10</v>
      </c>
      <c r="E214" s="1680"/>
      <c r="F214" s="1544" t="str">
        <f t="shared" si="10"/>
        <v>Producto: Plátano fruta  Palacio de la Revolución</v>
      </c>
      <c r="G214" s="1098"/>
    </row>
    <row r="215" spans="1:11" s="1501" customFormat="1" ht="15" customHeight="1" thickBot="1" x14ac:dyDescent="0.25">
      <c r="A215" s="1500" t="s">
        <v>637</v>
      </c>
      <c r="C215" s="1502"/>
      <c r="D215" s="1503"/>
      <c r="E215" s="1681"/>
      <c r="F215" s="1544" t="str">
        <f t="shared" si="10"/>
        <v>Producto: Plátano fruta  Palacio de la Revolución</v>
      </c>
      <c r="G215" s="1504"/>
      <c r="H215" s="1504"/>
      <c r="I215" s="1505"/>
      <c r="J215" s="1505"/>
      <c r="K215" s="1505"/>
    </row>
    <row r="216" spans="1:11" s="1511" customFormat="1" ht="32.25" customHeight="1" thickBot="1" x14ac:dyDescent="0.25">
      <c r="A216" s="1532" t="s">
        <v>1368</v>
      </c>
      <c r="B216" s="1532" t="s">
        <v>242</v>
      </c>
      <c r="C216" s="1533" t="s">
        <v>1976</v>
      </c>
      <c r="D216" s="1532" t="s">
        <v>1369</v>
      </c>
      <c r="E216" s="1682"/>
      <c r="F216" s="1544" t="str">
        <f t="shared" si="10"/>
        <v>Producto: Plátano fruta  Palacio de la Revolución</v>
      </c>
      <c r="G216" s="1509"/>
      <c r="H216" s="1509"/>
      <c r="I216" s="1510"/>
      <c r="J216" s="1510"/>
      <c r="K216" s="1510"/>
    </row>
    <row r="217" spans="1:11" ht="15" customHeight="1" x14ac:dyDescent="0.2">
      <c r="A217" s="1512">
        <v>1</v>
      </c>
      <c r="B217" s="1513">
        <v>2</v>
      </c>
      <c r="C217" s="1514">
        <v>3</v>
      </c>
      <c r="D217" s="1515">
        <v>4</v>
      </c>
      <c r="E217" s="1679"/>
      <c r="F217" s="1544" t="str">
        <f t="shared" si="10"/>
        <v>Producto: Plátano fruta  Palacio de la Revolución</v>
      </c>
      <c r="G217" s="1498"/>
      <c r="H217" s="1498"/>
    </row>
    <row r="218" spans="1:11" ht="15" customHeight="1" x14ac:dyDescent="0.2">
      <c r="A218" s="1516" t="s">
        <v>905</v>
      </c>
      <c r="B218" s="1095">
        <v>1</v>
      </c>
      <c r="C218" s="1519"/>
      <c r="D218" s="1244">
        <f>D219+D220+D221+D222</f>
        <v>17237</v>
      </c>
      <c r="E218" s="1498">
        <f>D218/D$247%</f>
        <v>10.754443963538415</v>
      </c>
      <c r="F218" s="1544" t="str">
        <f t="shared" si="10"/>
        <v>Producto: Plátano fruta  Palacio de la Revolución</v>
      </c>
      <c r="G218" s="1498"/>
      <c r="H218" s="1498"/>
      <c r="I218" s="1498"/>
    </row>
    <row r="219" spans="1:11" ht="15" customHeight="1" x14ac:dyDescent="0.2">
      <c r="A219" s="1516" t="s">
        <v>906</v>
      </c>
      <c r="B219" s="1095">
        <v>1.1000000000000001</v>
      </c>
      <c r="C219" s="1517">
        <f>IM!E213</f>
        <v>4100</v>
      </c>
      <c r="D219" s="1244">
        <f>IM!H213</f>
        <v>7472</v>
      </c>
      <c r="E219" s="1498">
        <f t="shared" ref="E219:E247" si="11">D219/D$247%</f>
        <v>4.6619020302581102</v>
      </c>
      <c r="F219" s="1544" t="str">
        <f t="shared" si="10"/>
        <v>Producto: Plátano fruta  Palacio de la Revolución</v>
      </c>
      <c r="G219" s="1498"/>
      <c r="H219" s="1498"/>
      <c r="I219" s="1498"/>
    </row>
    <row r="220" spans="1:11" ht="15" customHeight="1" x14ac:dyDescent="0.2">
      <c r="A220" s="1518" t="s">
        <v>909</v>
      </c>
      <c r="B220" s="1095">
        <v>1.2</v>
      </c>
      <c r="C220" s="1519"/>
      <c r="D220" s="1244">
        <f>IM!H216</f>
        <v>2919</v>
      </c>
      <c r="E220" s="1498">
        <f t="shared" si="11"/>
        <v>1.8212114596257258</v>
      </c>
      <c r="F220" s="1544" t="str">
        <f t="shared" si="10"/>
        <v>Producto: Plátano fruta  Palacio de la Revolución</v>
      </c>
    </row>
    <row r="221" spans="1:11" ht="15" customHeight="1" x14ac:dyDescent="0.2">
      <c r="A221" s="1516" t="s">
        <v>1472</v>
      </c>
      <c r="B221" s="1095">
        <v>1.3</v>
      </c>
      <c r="C221" s="1517">
        <f>IM!E217</f>
        <v>522.58000000000004</v>
      </c>
      <c r="D221" s="1244">
        <f>IM!H217</f>
        <v>5550</v>
      </c>
      <c r="E221" s="1498">
        <f t="shared" si="11"/>
        <v>3.4627350465648434</v>
      </c>
      <c r="F221" s="1544" t="str">
        <f t="shared" si="10"/>
        <v>Producto: Plátano fruta  Palacio de la Revolución</v>
      </c>
    </row>
    <row r="222" spans="1:11" ht="15" customHeight="1" x14ac:dyDescent="0.2">
      <c r="A222" s="1516" t="s">
        <v>283</v>
      </c>
      <c r="B222" s="1095">
        <v>1.4</v>
      </c>
      <c r="C222" s="1517">
        <f>IM!E215</f>
        <v>151.20000000000002</v>
      </c>
      <c r="D222" s="1244">
        <f>IM!H215</f>
        <v>1296</v>
      </c>
      <c r="E222" s="1498">
        <f t="shared" si="11"/>
        <v>0.80859542708973642</v>
      </c>
      <c r="F222" s="1544" t="str">
        <f t="shared" si="10"/>
        <v>Producto: Plátano fruta  Palacio de la Revolución</v>
      </c>
      <c r="G222" s="1498"/>
      <c r="H222" s="1498"/>
    </row>
    <row r="223" spans="1:11" ht="15" customHeight="1" x14ac:dyDescent="0.2">
      <c r="A223" s="1520" t="s">
        <v>1473</v>
      </c>
      <c r="B223" s="1095">
        <v>2</v>
      </c>
      <c r="C223" s="1517">
        <f>[6]SALARIOS!$F$89+[6]SALARIOS!$G$89</f>
        <v>16124.189366558076</v>
      </c>
      <c r="D223" s="1244">
        <f>SALARIOS!F89+SALARIOS!G89</f>
        <v>78544.800000000003</v>
      </c>
      <c r="E223" s="1498">
        <f t="shared" si="11"/>
        <v>49.005375078455195</v>
      </c>
      <c r="F223" s="1544" t="str">
        <f t="shared" si="10"/>
        <v>Producto: Plátano fruta  Palacio de la Revolución</v>
      </c>
    </row>
    <row r="224" spans="1:11" ht="15" customHeight="1" x14ac:dyDescent="0.2">
      <c r="A224" s="1518" t="s">
        <v>907</v>
      </c>
      <c r="B224" s="1095" t="s">
        <v>917</v>
      </c>
      <c r="C224" s="1519"/>
      <c r="D224" s="1244"/>
      <c r="E224" s="1498">
        <f t="shared" si="11"/>
        <v>0</v>
      </c>
      <c r="F224" s="1544" t="str">
        <f t="shared" si="10"/>
        <v>Producto: Plátano fruta  Palacio de la Revolución</v>
      </c>
    </row>
    <row r="225" spans="1:8" ht="15" customHeight="1" x14ac:dyDescent="0.2">
      <c r="A225" s="1518" t="s">
        <v>634</v>
      </c>
      <c r="B225" s="1095">
        <v>3</v>
      </c>
      <c r="C225" s="1244">
        <f>C226</f>
        <v>7500</v>
      </c>
      <c r="D225" s="1244">
        <f>D226</f>
        <v>5000</v>
      </c>
      <c r="E225" s="1498">
        <f t="shared" si="11"/>
        <v>3.1195811230313906</v>
      </c>
      <c r="F225" s="1544" t="str">
        <f t="shared" si="10"/>
        <v>Producto: Plátano fruta  Palacio de la Revolución</v>
      </c>
      <c r="G225" s="1498"/>
      <c r="H225" s="1498"/>
    </row>
    <row r="226" spans="1:8" ht="15" customHeight="1" x14ac:dyDescent="0.2">
      <c r="A226" s="1518" t="s">
        <v>1474</v>
      </c>
      <c r="B226" s="1095">
        <v>3.1</v>
      </c>
      <c r="C226" s="1244">
        <v>7500</v>
      </c>
      <c r="D226" s="1244">
        <v>5000</v>
      </c>
      <c r="E226" s="1498">
        <f t="shared" si="11"/>
        <v>3.1195811230313906</v>
      </c>
      <c r="F226" s="1544" t="str">
        <f t="shared" si="10"/>
        <v>Producto: Plátano fruta  Palacio de la Revolución</v>
      </c>
      <c r="G226" s="1498"/>
      <c r="H226" s="1498"/>
    </row>
    <row r="227" spans="1:8" ht="15" customHeight="1" x14ac:dyDescent="0.2">
      <c r="A227" s="1518" t="s">
        <v>908</v>
      </c>
      <c r="B227" s="1095">
        <v>4</v>
      </c>
      <c r="C227" s="1244">
        <f>C228</f>
        <v>483.72568099674226</v>
      </c>
      <c r="D227" s="1244">
        <v>40000</v>
      </c>
      <c r="E227" s="1498">
        <f t="shared" si="11"/>
        <v>24.956648984251125</v>
      </c>
      <c r="F227" s="1544" t="str">
        <f t="shared" si="10"/>
        <v>Producto: Plátano fruta  Palacio de la Revolución</v>
      </c>
    </row>
    <row r="228" spans="1:8" ht="15" customHeight="1" x14ac:dyDescent="0.2">
      <c r="A228" s="1518" t="s">
        <v>45</v>
      </c>
      <c r="B228" s="1095">
        <v>4.0999999999999996</v>
      </c>
      <c r="C228" s="1244">
        <f>C223*3%</f>
        <v>483.72568099674226</v>
      </c>
      <c r="D228" s="1244"/>
      <c r="E228" s="1498">
        <f t="shared" si="11"/>
        <v>0</v>
      </c>
      <c r="F228" s="1544" t="str">
        <f t="shared" si="10"/>
        <v>Producto: Plátano fruta  Palacio de la Revolución</v>
      </c>
    </row>
    <row r="229" spans="1:8" ht="15" customHeight="1" x14ac:dyDescent="0.2">
      <c r="A229" s="1518" t="s">
        <v>909</v>
      </c>
      <c r="B229" s="1095">
        <v>4.2</v>
      </c>
      <c r="C229" s="1519"/>
      <c r="D229" s="1244"/>
      <c r="E229" s="1498">
        <f t="shared" si="11"/>
        <v>0</v>
      </c>
      <c r="F229" s="1544" t="str">
        <f t="shared" si="10"/>
        <v>Producto: Plátano fruta  Palacio de la Revolución</v>
      </c>
    </row>
    <row r="230" spans="1:8" ht="15" customHeight="1" x14ac:dyDescent="0.2">
      <c r="A230" s="1518" t="s">
        <v>228</v>
      </c>
      <c r="B230" s="1095">
        <v>5</v>
      </c>
      <c r="C230" s="1244">
        <f>C231</f>
        <v>322.48378733116152</v>
      </c>
      <c r="D230" s="1244">
        <f>D231</f>
        <v>1570.8960000000002</v>
      </c>
      <c r="E230" s="1498">
        <f t="shared" si="11"/>
        <v>0.98010750156910398</v>
      </c>
      <c r="F230" s="1544" t="str">
        <f t="shared" si="10"/>
        <v>Producto: Plátano fruta  Palacio de la Revolución</v>
      </c>
    </row>
    <row r="231" spans="1:8" ht="15" customHeight="1" x14ac:dyDescent="0.2">
      <c r="A231" s="1518" t="s">
        <v>45</v>
      </c>
      <c r="B231" s="1095">
        <v>5.0999999999999996</v>
      </c>
      <c r="C231" s="1244">
        <f>C223*2%</f>
        <v>322.48378733116152</v>
      </c>
      <c r="D231" s="1244">
        <f>D223*2%</f>
        <v>1570.8960000000002</v>
      </c>
      <c r="E231" s="1498">
        <f t="shared" si="11"/>
        <v>0.98010750156910398</v>
      </c>
      <c r="F231" s="1544" t="str">
        <f t="shared" si="10"/>
        <v>Producto: Plátano fruta  Palacio de la Revolución</v>
      </c>
    </row>
    <row r="232" spans="1:8" ht="15" customHeight="1" x14ac:dyDescent="0.2">
      <c r="A232" s="1518" t="s">
        <v>909</v>
      </c>
      <c r="B232" s="1095">
        <v>5.2</v>
      </c>
      <c r="C232" s="1519"/>
      <c r="D232" s="1244"/>
      <c r="E232" s="1498">
        <f t="shared" si="11"/>
        <v>0</v>
      </c>
      <c r="F232" s="1544" t="str">
        <f t="shared" si="10"/>
        <v>Producto: Plátano fruta  Palacio de la Revolución</v>
      </c>
    </row>
    <row r="233" spans="1:8" ht="15" customHeight="1" x14ac:dyDescent="0.2">
      <c r="A233" s="1518" t="s">
        <v>635</v>
      </c>
      <c r="B233" s="1095">
        <v>6</v>
      </c>
      <c r="C233" s="1519"/>
      <c r="D233" s="1244">
        <f>D234+D235</f>
        <v>0</v>
      </c>
      <c r="E233" s="1498">
        <f t="shared" si="11"/>
        <v>0</v>
      </c>
      <c r="F233" s="1544" t="str">
        <f t="shared" si="10"/>
        <v>Producto: Plátano fruta  Palacio de la Revolución</v>
      </c>
      <c r="G233" s="1498"/>
      <c r="H233" s="1498"/>
    </row>
    <row r="234" spans="1:8" ht="15" customHeight="1" x14ac:dyDescent="0.2">
      <c r="A234" s="1518" t="s">
        <v>45</v>
      </c>
      <c r="B234" s="1095">
        <v>6.1</v>
      </c>
      <c r="C234" s="1519"/>
      <c r="D234" s="1244"/>
      <c r="E234" s="1498">
        <f t="shared" si="11"/>
        <v>0</v>
      </c>
      <c r="F234" s="1544" t="str">
        <f t="shared" si="10"/>
        <v>Producto: Plátano fruta  Palacio de la Revolución</v>
      </c>
    </row>
    <row r="235" spans="1:8" ht="15" customHeight="1" x14ac:dyDescent="0.2">
      <c r="A235" s="1518" t="s">
        <v>909</v>
      </c>
      <c r="B235" s="1095">
        <v>6.2</v>
      </c>
      <c r="C235" s="1519"/>
      <c r="D235" s="1244"/>
      <c r="E235" s="1498">
        <f t="shared" si="11"/>
        <v>0</v>
      </c>
      <c r="F235" s="1544" t="str">
        <f t="shared" si="10"/>
        <v>Producto: Plátano fruta  Palacio de la Revolución</v>
      </c>
    </row>
    <row r="236" spans="1:8" ht="15" customHeight="1" x14ac:dyDescent="0.2">
      <c r="A236" s="1518" t="s">
        <v>1375</v>
      </c>
      <c r="B236" s="1095">
        <v>7</v>
      </c>
      <c r="C236" s="1244">
        <f>C218+C223+C225+C227+C230</f>
        <v>24430.398834885982</v>
      </c>
      <c r="D236" s="1244">
        <f>D218+D223+D225+D227+D230</f>
        <v>142352.696</v>
      </c>
      <c r="E236" s="1498">
        <f t="shared" si="11"/>
        <v>88.81615665084523</v>
      </c>
      <c r="F236" s="1544" t="str">
        <f t="shared" si="10"/>
        <v>Producto: Plátano fruta  Palacio de la Revolución</v>
      </c>
    </row>
    <row r="237" spans="1:8" ht="15" customHeight="1" x14ac:dyDescent="0.2">
      <c r="A237" s="1518" t="s">
        <v>910</v>
      </c>
      <c r="B237" s="1095">
        <v>8</v>
      </c>
      <c r="C237" s="1519"/>
      <c r="D237" s="1521">
        <f>DATOS!H25</f>
        <v>0</v>
      </c>
      <c r="E237" s="1498">
        <f t="shared" si="11"/>
        <v>0</v>
      </c>
      <c r="F237" s="1544" t="str">
        <f t="shared" si="10"/>
        <v>Producto: Plátano fruta  Palacio de la Revolución</v>
      </c>
    </row>
    <row r="238" spans="1:8" ht="15" customHeight="1" x14ac:dyDescent="0.2">
      <c r="A238" s="1516" t="s">
        <v>911</v>
      </c>
      <c r="B238" s="1095">
        <v>9</v>
      </c>
      <c r="C238" s="1519"/>
      <c r="D238" s="1521"/>
      <c r="E238" s="1498">
        <f t="shared" si="11"/>
        <v>0</v>
      </c>
      <c r="F238" s="1544" t="str">
        <f t="shared" si="10"/>
        <v>Producto: Plátano fruta  Palacio de la Revolución</v>
      </c>
    </row>
    <row r="239" spans="1:8" ht="15" customHeight="1" x14ac:dyDescent="0.2">
      <c r="A239" s="1518" t="s">
        <v>913</v>
      </c>
      <c r="B239" s="1095">
        <v>10</v>
      </c>
      <c r="C239" s="1244">
        <f>(C223+C228+C231)*12.5%</f>
        <v>2116.2998543607478</v>
      </c>
      <c r="D239" s="1244">
        <f>(D223+D228+D231)*12.5%</f>
        <v>10014.462</v>
      </c>
      <c r="E239" s="1498">
        <f t="shared" si="11"/>
        <v>6.248185322503037</v>
      </c>
      <c r="F239" s="1544" t="str">
        <f t="shared" si="10"/>
        <v>Producto: Plátano fruta  Palacio de la Revolución</v>
      </c>
    </row>
    <row r="240" spans="1:8" ht="15" customHeight="1" x14ac:dyDescent="0.2">
      <c r="A240" s="1516" t="s">
        <v>912</v>
      </c>
      <c r="B240" s="1095">
        <v>11</v>
      </c>
      <c r="C240" s="1244">
        <f>(C223+C228+C231)*1.5%</f>
        <v>253.95598252328972</v>
      </c>
      <c r="D240" s="1244">
        <f>(D223+D228+D231)*1.5%</f>
        <v>1201.7354399999999</v>
      </c>
      <c r="E240" s="1498">
        <f t="shared" si="11"/>
        <v>0.74978223870036442</v>
      </c>
      <c r="F240" s="1544" t="str">
        <f t="shared" si="10"/>
        <v>Producto: Plátano fruta  Palacio de la Revolución</v>
      </c>
    </row>
    <row r="241" spans="1:11" ht="15" customHeight="1" x14ac:dyDescent="0.2">
      <c r="A241" s="1518" t="s">
        <v>1475</v>
      </c>
      <c r="B241" s="1095">
        <v>12</v>
      </c>
      <c r="C241" s="1519"/>
      <c r="D241" s="1244"/>
      <c r="E241" s="1498">
        <f t="shared" si="11"/>
        <v>0</v>
      </c>
      <c r="F241" s="1544" t="str">
        <f t="shared" si="10"/>
        <v>Producto: Plátano fruta  Palacio de la Revolución</v>
      </c>
    </row>
    <row r="242" spans="1:11" ht="15" customHeight="1" x14ac:dyDescent="0.2">
      <c r="A242" s="1516" t="s">
        <v>640</v>
      </c>
      <c r="B242" s="1095">
        <v>13</v>
      </c>
      <c r="C242" s="1517">
        <f>(100*21.74*D214)*5%</f>
        <v>1087</v>
      </c>
      <c r="D242" s="1244">
        <f>(DATOS!P9*'FICHA DE COSTO'!D214)*5%</f>
        <v>6709.0350000000008</v>
      </c>
      <c r="E242" s="1498">
        <f t="shared" si="11"/>
        <v>4.1858757879513817</v>
      </c>
      <c r="F242" s="1544" t="str">
        <f t="shared" si="10"/>
        <v>Producto: Plátano fruta  Palacio de la Revolución</v>
      </c>
      <c r="G242" s="1098"/>
      <c r="H242" s="1098"/>
      <c r="I242" s="1098"/>
      <c r="J242" s="1098"/>
      <c r="K242" s="1098"/>
    </row>
    <row r="243" spans="1:11" ht="15" customHeight="1" x14ac:dyDescent="0.2">
      <c r="A243" s="1516" t="s">
        <v>914</v>
      </c>
      <c r="B243" s="1095">
        <v>14</v>
      </c>
      <c r="C243" s="1519"/>
      <c r="D243" s="1244"/>
      <c r="E243" s="1498">
        <f t="shared" si="11"/>
        <v>0</v>
      </c>
      <c r="F243" s="1544" t="str">
        <f t="shared" si="10"/>
        <v>Producto: Plátano fruta  Palacio de la Revolución</v>
      </c>
      <c r="G243" s="1098"/>
      <c r="H243" s="1098"/>
      <c r="I243" s="1098"/>
      <c r="J243" s="1098"/>
      <c r="K243" s="1098"/>
    </row>
    <row r="244" spans="1:11" ht="15" customHeight="1" x14ac:dyDescent="0.2">
      <c r="A244" s="1516" t="s">
        <v>915</v>
      </c>
      <c r="B244" s="1095">
        <v>15</v>
      </c>
      <c r="C244" s="1519"/>
      <c r="D244" s="1244"/>
      <c r="E244" s="1498">
        <f t="shared" si="11"/>
        <v>0</v>
      </c>
      <c r="F244" s="1544" t="str">
        <f t="shared" si="10"/>
        <v>Producto: Plátano fruta  Palacio de la Revolución</v>
      </c>
      <c r="G244" s="1098"/>
      <c r="H244" s="1098"/>
      <c r="I244" s="1098"/>
      <c r="J244" s="1098"/>
      <c r="K244" s="1098"/>
    </row>
    <row r="245" spans="1:11" ht="15" customHeight="1" x14ac:dyDescent="0.2">
      <c r="A245" s="1516" t="s">
        <v>916</v>
      </c>
      <c r="B245" s="1095">
        <v>16</v>
      </c>
      <c r="C245" s="1519"/>
      <c r="D245" s="1244"/>
      <c r="E245" s="1498">
        <f t="shared" si="11"/>
        <v>0</v>
      </c>
      <c r="F245" s="1544" t="str">
        <f t="shared" si="10"/>
        <v>Producto: Plátano fruta  Palacio de la Revolución</v>
      </c>
      <c r="G245" s="1098"/>
      <c r="H245" s="1098"/>
      <c r="I245" s="1098"/>
      <c r="J245" s="1098"/>
      <c r="K245" s="1098"/>
    </row>
    <row r="246" spans="1:11" ht="15" customHeight="1" x14ac:dyDescent="0.2">
      <c r="A246" s="1516" t="s">
        <v>1376</v>
      </c>
      <c r="B246" s="1095">
        <v>17</v>
      </c>
      <c r="C246" s="1244">
        <f>C236+C237+C238+C239+C240+C241+C242+C243+C244+C245</f>
        <v>27887.654671770018</v>
      </c>
      <c r="D246" s="1244">
        <f>D236+D237+D238+D239+D240+D241+D242+D243+D244+D245</f>
        <v>160277.92843999999</v>
      </c>
      <c r="E246" s="1498">
        <f t="shared" si="11"/>
        <v>100</v>
      </c>
      <c r="F246" s="1544" t="str">
        <f t="shared" si="10"/>
        <v>Producto: Plátano fruta  Palacio de la Revolución</v>
      </c>
      <c r="G246" s="1098"/>
      <c r="H246" s="1098"/>
      <c r="I246" s="1098"/>
      <c r="J246" s="1098"/>
      <c r="K246" s="1098"/>
    </row>
    <row r="247" spans="1:11" ht="15" customHeight="1" x14ac:dyDescent="0.2">
      <c r="A247" s="1516" t="s">
        <v>17</v>
      </c>
      <c r="B247" s="1095">
        <v>18</v>
      </c>
      <c r="C247" s="1244">
        <f>C246+DATOS!Q25</f>
        <v>27887.654671770018</v>
      </c>
      <c r="D247" s="1244">
        <f>D246+DATOS!R25</f>
        <v>160277.92843999999</v>
      </c>
      <c r="E247" s="1498">
        <f t="shared" si="11"/>
        <v>100</v>
      </c>
      <c r="F247" s="1544" t="str">
        <f t="shared" si="10"/>
        <v>Producto: Plátano fruta  Palacio de la Revolución</v>
      </c>
      <c r="G247" s="1098"/>
      <c r="H247" s="1098"/>
      <c r="I247" s="1098"/>
      <c r="J247" s="1098"/>
      <c r="K247" s="1098"/>
    </row>
    <row r="248" spans="1:11" ht="15" customHeight="1" x14ac:dyDescent="0.2">
      <c r="A248" s="1516" t="s">
        <v>18</v>
      </c>
      <c r="B248" s="1095">
        <v>19</v>
      </c>
      <c r="C248" s="1244">
        <f>C247/D214</f>
        <v>2788.7654671770019</v>
      </c>
      <c r="D248" s="1244">
        <f>D247/D214</f>
        <v>16027.792844</v>
      </c>
      <c r="E248" s="1498"/>
      <c r="F248" s="1544" t="str">
        <f t="shared" si="10"/>
        <v>Producto: Plátano fruta  Palacio de la Revolución</v>
      </c>
      <c r="G248" s="1098"/>
      <c r="H248" s="1098"/>
      <c r="I248" s="1098"/>
      <c r="J248" s="1098"/>
      <c r="K248" s="1098"/>
    </row>
    <row r="249" spans="1:11" s="1493" customFormat="1" ht="15" customHeight="1" x14ac:dyDescent="0.25">
      <c r="A249" s="1012" t="s">
        <v>2081</v>
      </c>
      <c r="B249" s="1013">
        <v>20</v>
      </c>
      <c r="C249" s="1537">
        <f>C248/21.74</f>
        <v>128.27808036692741</v>
      </c>
      <c r="D249" s="1537">
        <f>D248/21.74*1.3</f>
        <v>958.42367512419514</v>
      </c>
      <c r="E249" s="1683"/>
      <c r="F249" s="1544" t="str">
        <f t="shared" si="10"/>
        <v>Producto: Plátano fruta  Palacio de la Revolución</v>
      </c>
    </row>
    <row r="250" spans="1:11" ht="15" customHeight="1" x14ac:dyDescent="0.2">
      <c r="A250" s="1499" t="s">
        <v>249</v>
      </c>
      <c r="B250" s="1480"/>
      <c r="C250" s="1522"/>
      <c r="D250" s="1523"/>
      <c r="E250" s="1498"/>
      <c r="F250" s="1544" t="str">
        <f t="shared" si="10"/>
        <v>Producto: Plátano fruta  Palacio de la Revolución</v>
      </c>
    </row>
    <row r="251" spans="1:11" ht="15" customHeight="1" thickBot="1" x14ac:dyDescent="0.25">
      <c r="A251" s="1524"/>
      <c r="B251" s="1525"/>
      <c r="C251" s="1526"/>
      <c r="D251" s="1527"/>
      <c r="E251" s="1498"/>
      <c r="F251" s="1544" t="str">
        <f t="shared" si="10"/>
        <v>Producto: Plátano fruta  Palacio de la Revolución</v>
      </c>
    </row>
    <row r="252" spans="1:11" ht="15" customHeight="1" x14ac:dyDescent="0.2">
      <c r="A252" s="1528" t="s">
        <v>1374</v>
      </c>
      <c r="B252" s="1529"/>
      <c r="C252" s="1530"/>
      <c r="D252" s="1531"/>
      <c r="E252" s="1684"/>
      <c r="F252" s="1544" t="str">
        <f t="shared" si="10"/>
        <v>Producto: Plátano fruta  Palacio de la Revolución</v>
      </c>
    </row>
    <row r="253" spans="1:11" ht="15" customHeight="1" thickBot="1" x14ac:dyDescent="0.25">
      <c r="A253" s="1794"/>
      <c r="B253" s="1795"/>
      <c r="C253" s="1795"/>
      <c r="D253" s="1796"/>
      <c r="E253" s="1628"/>
      <c r="F253" s="1544" t="str">
        <f t="shared" si="10"/>
        <v>Producto: Plátano fruta  Palacio de la Revolución</v>
      </c>
    </row>
    <row r="254" spans="1:11" s="1493" customFormat="1" ht="15" customHeight="1" x14ac:dyDescent="0.25">
      <c r="A254" s="1788" t="s">
        <v>2093</v>
      </c>
      <c r="B254" s="1789"/>
      <c r="C254" s="1789"/>
      <c r="D254" s="1790"/>
      <c r="E254" s="1628"/>
      <c r="F254" s="1545" t="str">
        <f t="shared" ref="F254:F295" si="12">A$256</f>
        <v>Producto: Boniato  Palacio de la Revolución</v>
      </c>
      <c r="G254" s="1491"/>
      <c r="H254" s="1491"/>
      <c r="I254" s="1492"/>
      <c r="J254" s="1492"/>
      <c r="K254" s="1492"/>
    </row>
    <row r="255" spans="1:11" s="1493" customFormat="1" ht="15" customHeight="1" x14ac:dyDescent="0.25">
      <c r="A255" s="1791" t="s">
        <v>1854</v>
      </c>
      <c r="B255" s="1792"/>
      <c r="C255" s="1792"/>
      <c r="D255" s="1793"/>
      <c r="E255" s="1628"/>
      <c r="F255" s="1545" t="str">
        <f t="shared" si="12"/>
        <v>Producto: Boniato  Palacio de la Revolución</v>
      </c>
      <c r="G255" s="1535">
        <f>D291</f>
        <v>1493.6899886844526</v>
      </c>
      <c r="H255" s="1491"/>
      <c r="I255" s="1492"/>
      <c r="J255" s="1492"/>
      <c r="K255" s="1492"/>
    </row>
    <row r="256" spans="1:11" ht="15" customHeight="1" x14ac:dyDescent="0.2">
      <c r="A256" s="1499" t="s">
        <v>2092</v>
      </c>
      <c r="B256" s="1784" t="s">
        <v>278</v>
      </c>
      <c r="C256" s="1785"/>
      <c r="D256" s="1618">
        <v>8</v>
      </c>
      <c r="E256" s="1680"/>
      <c r="F256" s="1544" t="str">
        <f t="shared" si="12"/>
        <v>Producto: Boniato  Palacio de la Revolución</v>
      </c>
    </row>
    <row r="257" spans="1:11" s="1501" customFormat="1" ht="15" customHeight="1" thickBot="1" x14ac:dyDescent="0.25">
      <c r="A257" s="1500" t="s">
        <v>637</v>
      </c>
      <c r="C257" s="1502"/>
      <c r="D257" s="1503"/>
      <c r="E257" s="1681"/>
      <c r="F257" s="1544" t="str">
        <f t="shared" si="12"/>
        <v>Producto: Boniato  Palacio de la Revolución</v>
      </c>
      <c r="G257" s="1504"/>
      <c r="H257" s="1504"/>
      <c r="I257" s="1505"/>
      <c r="J257" s="1505"/>
      <c r="K257" s="1505"/>
    </row>
    <row r="258" spans="1:11" s="1511" customFormat="1" ht="32.25" customHeight="1" thickBot="1" x14ac:dyDescent="0.25">
      <c r="A258" s="1532" t="s">
        <v>1368</v>
      </c>
      <c r="B258" s="1532" t="s">
        <v>242</v>
      </c>
      <c r="C258" s="1533" t="s">
        <v>1976</v>
      </c>
      <c r="D258" s="1532" t="s">
        <v>1369</v>
      </c>
      <c r="E258" s="1682"/>
      <c r="F258" s="1544" t="str">
        <f t="shared" si="12"/>
        <v>Producto: Boniato  Palacio de la Revolución</v>
      </c>
      <c r="G258" s="1509"/>
      <c r="H258" s="1509"/>
      <c r="I258" s="1510"/>
      <c r="J258" s="1510"/>
      <c r="K258" s="1510"/>
    </row>
    <row r="259" spans="1:11" ht="15" customHeight="1" x14ac:dyDescent="0.2">
      <c r="A259" s="1512">
        <v>1</v>
      </c>
      <c r="B259" s="1513">
        <v>2</v>
      </c>
      <c r="C259" s="1514">
        <v>3</v>
      </c>
      <c r="D259" s="1515">
        <v>4</v>
      </c>
      <c r="E259" s="1679"/>
      <c r="F259" s="1544" t="str">
        <f t="shared" si="12"/>
        <v>Producto: Boniato  Palacio de la Revolución</v>
      </c>
    </row>
    <row r="260" spans="1:11" ht="15" customHeight="1" x14ac:dyDescent="0.2">
      <c r="A260" s="1516" t="s">
        <v>905</v>
      </c>
      <c r="B260" s="1095">
        <v>1</v>
      </c>
      <c r="C260" s="1244">
        <f>C261+C262+C263+C264</f>
        <v>4201.5162589639331</v>
      </c>
      <c r="D260" s="1244">
        <f>D261+D262+D263+D264</f>
        <v>66309.943199999994</v>
      </c>
      <c r="E260" s="1498">
        <f>D260/D$289%</f>
        <v>33.182722204394828</v>
      </c>
      <c r="F260" s="1544" t="str">
        <f t="shared" si="12"/>
        <v>Producto: Boniato  Palacio de la Revolución</v>
      </c>
    </row>
    <row r="261" spans="1:11" ht="15" customHeight="1" x14ac:dyDescent="0.2">
      <c r="A261" s="1516" t="s">
        <v>906</v>
      </c>
      <c r="B261" s="1095">
        <v>1.1000000000000001</v>
      </c>
      <c r="C261" s="1517">
        <f>IM!E28</f>
        <v>3160.25</v>
      </c>
      <c r="D261" s="1244">
        <f>IM!H28</f>
        <v>59242.7</v>
      </c>
      <c r="E261" s="1498">
        <f t="shared" ref="E261:E289" si="13">D261/D$289%</f>
        <v>29.64614297450192</v>
      </c>
      <c r="F261" s="1544" t="str">
        <f t="shared" si="12"/>
        <v>Producto: Boniato  Palacio de la Revolución</v>
      </c>
    </row>
    <row r="262" spans="1:11" ht="15" customHeight="1" x14ac:dyDescent="0.2">
      <c r="A262" s="1518" t="s">
        <v>909</v>
      </c>
      <c r="B262" s="1095">
        <v>1.2</v>
      </c>
      <c r="C262" s="1519"/>
      <c r="D262" s="1244">
        <f>IM!H31</f>
        <v>2919</v>
      </c>
      <c r="E262" s="1498">
        <f t="shared" si="13"/>
        <v>1.4607215967970926</v>
      </c>
      <c r="F262" s="1544" t="str">
        <f t="shared" si="12"/>
        <v>Producto: Boniato  Palacio de la Revolución</v>
      </c>
    </row>
    <row r="263" spans="1:11" ht="15" customHeight="1" x14ac:dyDescent="0.2">
      <c r="A263" s="1516" t="s">
        <v>1472</v>
      </c>
      <c r="B263" s="1095">
        <v>1.3</v>
      </c>
      <c r="C263" s="1517">
        <f>IM!E32</f>
        <v>944.06625896393359</v>
      </c>
      <c r="D263" s="1244">
        <f>IM!H32</f>
        <v>3700</v>
      </c>
      <c r="E263" s="1498">
        <f t="shared" si="13"/>
        <v>1.8515484440387948</v>
      </c>
      <c r="F263" s="1544" t="str">
        <f t="shared" si="12"/>
        <v>Producto: Boniato  Palacio de la Revolución</v>
      </c>
    </row>
    <row r="264" spans="1:11" ht="15" customHeight="1" x14ac:dyDescent="0.2">
      <c r="A264" s="1516" t="s">
        <v>283</v>
      </c>
      <c r="B264" s="1095">
        <v>1.4</v>
      </c>
      <c r="C264" s="1517">
        <f>IM!E30</f>
        <v>97.2</v>
      </c>
      <c r="D264" s="1244">
        <f>IM!H30</f>
        <v>448.2432</v>
      </c>
      <c r="E264" s="1498">
        <f t="shared" si="13"/>
        <v>0.22430918905701902</v>
      </c>
      <c r="F264" s="1544" t="str">
        <f t="shared" si="12"/>
        <v>Producto: Boniato  Palacio de la Revolución</v>
      </c>
    </row>
    <row r="265" spans="1:11" ht="15" customHeight="1" x14ac:dyDescent="0.2">
      <c r="A265" s="1520" t="s">
        <v>1473</v>
      </c>
      <c r="B265" s="1095">
        <v>2</v>
      </c>
      <c r="C265" s="1517">
        <f>[6]SALARIOS!$F$104+[6]SALARIOS!$G$104</f>
        <v>7854.48</v>
      </c>
      <c r="D265" s="1244">
        <f>SALARIOS!F104+SALARIOS!G104</f>
        <v>78544.800000000003</v>
      </c>
      <c r="E265" s="1498">
        <f t="shared" si="13"/>
        <v>39.305270872253608</v>
      </c>
      <c r="F265" s="1544" t="str">
        <f t="shared" si="12"/>
        <v>Producto: Boniato  Palacio de la Revolución</v>
      </c>
    </row>
    <row r="266" spans="1:11" ht="15" customHeight="1" x14ac:dyDescent="0.2">
      <c r="A266" s="1518" t="s">
        <v>907</v>
      </c>
      <c r="B266" s="1095" t="s">
        <v>917</v>
      </c>
      <c r="C266" s="1519"/>
      <c r="D266" s="1244"/>
      <c r="E266" s="1498">
        <f t="shared" si="13"/>
        <v>0</v>
      </c>
      <c r="F266" s="1544" t="str">
        <f t="shared" si="12"/>
        <v>Producto: Boniato  Palacio de la Revolución</v>
      </c>
    </row>
    <row r="267" spans="1:11" ht="15" customHeight="1" x14ac:dyDescent="0.2">
      <c r="A267" s="1518" t="s">
        <v>634</v>
      </c>
      <c r="B267" s="1095">
        <v>3</v>
      </c>
      <c r="C267" s="1244">
        <f>C268</f>
        <v>127</v>
      </c>
      <c r="D267" s="1244">
        <f>D268</f>
        <v>1520</v>
      </c>
      <c r="E267" s="1498">
        <f t="shared" si="13"/>
        <v>0.76063611755107252</v>
      </c>
      <c r="F267" s="1544" t="str">
        <f t="shared" si="12"/>
        <v>Producto: Boniato  Palacio de la Revolución</v>
      </c>
    </row>
    <row r="268" spans="1:11" ht="15" customHeight="1" x14ac:dyDescent="0.2">
      <c r="A268" s="1518" t="s">
        <v>1474</v>
      </c>
      <c r="B268" s="1095">
        <v>3.1</v>
      </c>
      <c r="C268" s="1244">
        <v>127</v>
      </c>
      <c r="D268" s="1244">
        <v>1520</v>
      </c>
      <c r="E268" s="1498">
        <f t="shared" si="13"/>
        <v>0.76063611755107252</v>
      </c>
      <c r="F268" s="1544" t="str">
        <f t="shared" si="12"/>
        <v>Producto: Boniato  Palacio de la Revolución</v>
      </c>
    </row>
    <row r="269" spans="1:11" ht="15" customHeight="1" x14ac:dyDescent="0.2">
      <c r="A269" s="1518" t="s">
        <v>908</v>
      </c>
      <c r="B269" s="1095">
        <v>4</v>
      </c>
      <c r="C269" s="1244">
        <f>C270</f>
        <v>235.63439999999997</v>
      </c>
      <c r="D269" s="1244">
        <v>35000</v>
      </c>
      <c r="E269" s="1498">
        <f t="shared" si="13"/>
        <v>17.514647443610222</v>
      </c>
      <c r="F269" s="1544" t="str">
        <f t="shared" si="12"/>
        <v>Producto: Boniato  Palacio de la Revolución</v>
      </c>
    </row>
    <row r="270" spans="1:11" ht="15" customHeight="1" x14ac:dyDescent="0.2">
      <c r="A270" s="1518" t="s">
        <v>45</v>
      </c>
      <c r="B270" s="1095">
        <v>4.0999999999999996</v>
      </c>
      <c r="C270" s="1244">
        <f>C265*3%</f>
        <v>235.63439999999997</v>
      </c>
      <c r="D270" s="1244"/>
      <c r="E270" s="1498">
        <f t="shared" si="13"/>
        <v>0</v>
      </c>
      <c r="F270" s="1544" t="str">
        <f t="shared" si="12"/>
        <v>Producto: Boniato  Palacio de la Revolución</v>
      </c>
    </row>
    <row r="271" spans="1:11" ht="15" customHeight="1" x14ac:dyDescent="0.2">
      <c r="A271" s="1518" t="s">
        <v>909</v>
      </c>
      <c r="B271" s="1095">
        <v>4.2</v>
      </c>
      <c r="C271" s="1519"/>
      <c r="D271" s="1244"/>
      <c r="E271" s="1498">
        <f t="shared" si="13"/>
        <v>0</v>
      </c>
      <c r="F271" s="1544" t="str">
        <f t="shared" si="12"/>
        <v>Producto: Boniato  Palacio de la Revolución</v>
      </c>
    </row>
    <row r="272" spans="1:11" ht="15" customHeight="1" x14ac:dyDescent="0.2">
      <c r="A272" s="1518" t="s">
        <v>228</v>
      </c>
      <c r="B272" s="1095">
        <v>5</v>
      </c>
      <c r="C272" s="1244">
        <f>C273</f>
        <v>157.08959999999999</v>
      </c>
      <c r="D272" s="1244">
        <v>5060</v>
      </c>
      <c r="E272" s="1498">
        <f t="shared" si="13"/>
        <v>2.532117601847649</v>
      </c>
      <c r="F272" s="1544" t="str">
        <f t="shared" si="12"/>
        <v>Producto: Boniato  Palacio de la Revolución</v>
      </c>
    </row>
    <row r="273" spans="1:6" ht="15" customHeight="1" x14ac:dyDescent="0.2">
      <c r="A273" s="1518" t="s">
        <v>45</v>
      </c>
      <c r="B273" s="1095">
        <v>5.0999999999999996</v>
      </c>
      <c r="C273" s="1244">
        <f>C265*2%</f>
        <v>157.08959999999999</v>
      </c>
      <c r="D273" s="1244">
        <f>D265*2%</f>
        <v>1570.8960000000002</v>
      </c>
      <c r="E273" s="1498">
        <f t="shared" si="13"/>
        <v>0.78610541744507212</v>
      </c>
      <c r="F273" s="1544" t="str">
        <f t="shared" si="12"/>
        <v>Producto: Boniato  Palacio de la Revolución</v>
      </c>
    </row>
    <row r="274" spans="1:6" ht="15" customHeight="1" x14ac:dyDescent="0.2">
      <c r="A274" s="1518" t="s">
        <v>909</v>
      </c>
      <c r="B274" s="1095">
        <v>5.2</v>
      </c>
      <c r="C274" s="1519"/>
      <c r="D274" s="1244"/>
      <c r="E274" s="1498">
        <f t="shared" si="13"/>
        <v>0</v>
      </c>
      <c r="F274" s="1544" t="str">
        <f t="shared" si="12"/>
        <v>Producto: Boniato  Palacio de la Revolución</v>
      </c>
    </row>
    <row r="275" spans="1:6" ht="15" customHeight="1" x14ac:dyDescent="0.2">
      <c r="A275" s="1518" t="s">
        <v>635</v>
      </c>
      <c r="B275" s="1095">
        <v>6</v>
      </c>
      <c r="C275" s="1519"/>
      <c r="D275" s="1244">
        <f>D276+D277</f>
        <v>0</v>
      </c>
      <c r="E275" s="1498">
        <f t="shared" si="13"/>
        <v>0</v>
      </c>
      <c r="F275" s="1544" t="str">
        <f t="shared" si="12"/>
        <v>Producto: Boniato  Palacio de la Revolución</v>
      </c>
    </row>
    <row r="276" spans="1:6" ht="15" customHeight="1" x14ac:dyDescent="0.2">
      <c r="A276" s="1518" t="s">
        <v>45</v>
      </c>
      <c r="B276" s="1095">
        <v>6.1</v>
      </c>
      <c r="C276" s="1519"/>
      <c r="D276" s="1244"/>
      <c r="E276" s="1498">
        <f t="shared" si="13"/>
        <v>0</v>
      </c>
      <c r="F276" s="1544" t="str">
        <f t="shared" si="12"/>
        <v>Producto: Boniato  Palacio de la Revolución</v>
      </c>
    </row>
    <row r="277" spans="1:6" ht="15" customHeight="1" x14ac:dyDescent="0.2">
      <c r="A277" s="1518" t="s">
        <v>909</v>
      </c>
      <c r="B277" s="1095">
        <v>6.2</v>
      </c>
      <c r="C277" s="1519"/>
      <c r="D277" s="1244"/>
      <c r="E277" s="1498">
        <f t="shared" si="13"/>
        <v>0</v>
      </c>
      <c r="F277" s="1544" t="str">
        <f t="shared" si="12"/>
        <v>Producto: Boniato  Palacio de la Revolución</v>
      </c>
    </row>
    <row r="278" spans="1:6" ht="15" customHeight="1" x14ac:dyDescent="0.2">
      <c r="A278" s="1518" t="s">
        <v>1375</v>
      </c>
      <c r="B278" s="1095">
        <v>7</v>
      </c>
      <c r="C278" s="1244">
        <f>C260+C265+C267+C269+C272</f>
        <v>12575.720258963933</v>
      </c>
      <c r="D278" s="1244">
        <f>D260+D265+D267+D269+D272</f>
        <v>186434.7432</v>
      </c>
      <c r="E278" s="1498">
        <f t="shared" si="13"/>
        <v>93.295394239657369</v>
      </c>
      <c r="F278" s="1544" t="str">
        <f t="shared" si="12"/>
        <v>Producto: Boniato  Palacio de la Revolución</v>
      </c>
    </row>
    <row r="279" spans="1:6" ht="15" customHeight="1" x14ac:dyDescent="0.2">
      <c r="A279" s="1518" t="s">
        <v>910</v>
      </c>
      <c r="B279" s="1095">
        <v>8</v>
      </c>
      <c r="C279" s="1519"/>
      <c r="D279" s="1521">
        <f>DATOS!H20</f>
        <v>0</v>
      </c>
      <c r="E279" s="1498">
        <f t="shared" si="13"/>
        <v>0</v>
      </c>
      <c r="F279" s="1544" t="str">
        <f t="shared" si="12"/>
        <v>Producto: Boniato  Palacio de la Revolución</v>
      </c>
    </row>
    <row r="280" spans="1:6" ht="15" customHeight="1" x14ac:dyDescent="0.2">
      <c r="A280" s="1516" t="s">
        <v>911</v>
      </c>
      <c r="B280" s="1095">
        <v>9</v>
      </c>
      <c r="C280" s="1519"/>
      <c r="D280" s="1521"/>
      <c r="E280" s="1498">
        <f t="shared" si="13"/>
        <v>0</v>
      </c>
      <c r="F280" s="1544" t="str">
        <f t="shared" si="12"/>
        <v>Producto: Boniato  Palacio de la Revolución</v>
      </c>
    </row>
    <row r="281" spans="1:6" ht="15" customHeight="1" x14ac:dyDescent="0.2">
      <c r="A281" s="1518" t="s">
        <v>913</v>
      </c>
      <c r="B281" s="1095">
        <v>10</v>
      </c>
      <c r="C281" s="1244">
        <f>(C265+C270+C273)*12.5%</f>
        <v>1030.9005</v>
      </c>
      <c r="D281" s="1244">
        <f>(D265+D270+D273)*12.5%</f>
        <v>10014.462</v>
      </c>
      <c r="E281" s="1498">
        <f t="shared" si="13"/>
        <v>5.0114220362123341</v>
      </c>
      <c r="F281" s="1544" t="str">
        <f t="shared" si="12"/>
        <v>Producto: Boniato  Palacio de la Revolución</v>
      </c>
    </row>
    <row r="282" spans="1:6" ht="15" customHeight="1" x14ac:dyDescent="0.2">
      <c r="A282" s="1516" t="s">
        <v>912</v>
      </c>
      <c r="B282" s="1095">
        <v>11</v>
      </c>
      <c r="C282" s="1244">
        <f>(C265+C270+C273)*1.5%</f>
        <v>123.70805999999999</v>
      </c>
      <c r="D282" s="1244">
        <f>(D265+D270+D273)*1.5%</f>
        <v>1201.7354399999999</v>
      </c>
      <c r="E282" s="1498">
        <f t="shared" si="13"/>
        <v>0.60137064434548015</v>
      </c>
      <c r="F282" s="1544" t="str">
        <f t="shared" si="12"/>
        <v>Producto: Boniato  Palacio de la Revolución</v>
      </c>
    </row>
    <row r="283" spans="1:6" ht="15" customHeight="1" x14ac:dyDescent="0.2">
      <c r="A283" s="1518" t="s">
        <v>1475</v>
      </c>
      <c r="B283" s="1095">
        <v>12</v>
      </c>
      <c r="C283" s="1519"/>
      <c r="D283" s="1244"/>
      <c r="E283" s="1498">
        <f t="shared" si="13"/>
        <v>0</v>
      </c>
      <c r="F283" s="1544" t="str">
        <f t="shared" si="12"/>
        <v>Producto: Boniato  Palacio de la Revolución</v>
      </c>
    </row>
    <row r="284" spans="1:6" ht="15" customHeight="1" x14ac:dyDescent="0.2">
      <c r="A284" s="1516" t="s">
        <v>640</v>
      </c>
      <c r="B284" s="1095">
        <v>13</v>
      </c>
      <c r="C284" s="1517">
        <f>(60*21.74*17)*5%</f>
        <v>1108.74</v>
      </c>
      <c r="D284" s="1244">
        <f>(DATOS!P5*'FICHA DE COSTO'!D256)*5%</f>
        <v>2181.8000000000002</v>
      </c>
      <c r="E284" s="1498">
        <f t="shared" si="13"/>
        <v>1.0918130797848224</v>
      </c>
      <c r="F284" s="1544" t="str">
        <f t="shared" si="12"/>
        <v>Producto: Boniato  Palacio de la Revolución</v>
      </c>
    </row>
    <row r="285" spans="1:6" ht="15" customHeight="1" x14ac:dyDescent="0.2">
      <c r="A285" s="1516" t="s">
        <v>914</v>
      </c>
      <c r="B285" s="1095">
        <v>14</v>
      </c>
      <c r="C285" s="1519"/>
      <c r="D285" s="1244"/>
      <c r="E285" s="1498">
        <f t="shared" si="13"/>
        <v>0</v>
      </c>
      <c r="F285" s="1544" t="str">
        <f t="shared" si="12"/>
        <v>Producto: Boniato  Palacio de la Revolución</v>
      </c>
    </row>
    <row r="286" spans="1:6" ht="15" customHeight="1" x14ac:dyDescent="0.2">
      <c r="A286" s="1516" t="s">
        <v>915</v>
      </c>
      <c r="B286" s="1095">
        <v>15</v>
      </c>
      <c r="C286" s="1519"/>
      <c r="D286" s="1244"/>
      <c r="E286" s="1498">
        <f t="shared" si="13"/>
        <v>0</v>
      </c>
      <c r="F286" s="1544" t="str">
        <f t="shared" si="12"/>
        <v>Producto: Boniato  Palacio de la Revolución</v>
      </c>
    </row>
    <row r="287" spans="1:6" ht="15" customHeight="1" x14ac:dyDescent="0.2">
      <c r="A287" s="1516" t="s">
        <v>916</v>
      </c>
      <c r="B287" s="1095">
        <v>16</v>
      </c>
      <c r="C287" s="1519"/>
      <c r="D287" s="1244"/>
      <c r="E287" s="1498">
        <f t="shared" si="13"/>
        <v>0</v>
      </c>
      <c r="F287" s="1544" t="str">
        <f t="shared" si="12"/>
        <v>Producto: Boniato  Palacio de la Revolución</v>
      </c>
    </row>
    <row r="288" spans="1:6" ht="15" customHeight="1" x14ac:dyDescent="0.2">
      <c r="A288" s="1516" t="s">
        <v>1376</v>
      </c>
      <c r="B288" s="1095">
        <v>17</v>
      </c>
      <c r="C288" s="1244">
        <f>C278+C279+C280+C281+C282+C283+C284+C285+C286+C287</f>
        <v>14839.068818963933</v>
      </c>
      <c r="D288" s="1244">
        <f>D278+D279+D280+D281+D282+D283+D284+D285+D286+D287</f>
        <v>199832.74063999997</v>
      </c>
      <c r="E288" s="1498">
        <f t="shared" si="13"/>
        <v>100</v>
      </c>
      <c r="F288" s="1544" t="str">
        <f t="shared" si="12"/>
        <v>Producto: Boniato  Palacio de la Revolución</v>
      </c>
    </row>
    <row r="289" spans="1:6" ht="15" customHeight="1" x14ac:dyDescent="0.2">
      <c r="A289" s="1516" t="s">
        <v>17</v>
      </c>
      <c r="B289" s="1095">
        <v>18</v>
      </c>
      <c r="C289" s="1244">
        <f>C288+DATOS!Q20</f>
        <v>14839.068818963933</v>
      </c>
      <c r="D289" s="1244">
        <f>D288+DATOS!R20</f>
        <v>199832.74063999997</v>
      </c>
      <c r="E289" s="1498">
        <f t="shared" si="13"/>
        <v>100</v>
      </c>
      <c r="F289" s="1544" t="str">
        <f t="shared" si="12"/>
        <v>Producto: Boniato  Palacio de la Revolución</v>
      </c>
    </row>
    <row r="290" spans="1:6" ht="15" customHeight="1" x14ac:dyDescent="0.2">
      <c r="A290" s="1516" t="s">
        <v>18</v>
      </c>
      <c r="B290" s="1095">
        <v>19</v>
      </c>
      <c r="C290" s="1244">
        <f>C289/D256</f>
        <v>1854.8836023704916</v>
      </c>
      <c r="D290" s="1244">
        <f>D289/D256</f>
        <v>24979.092579999997</v>
      </c>
      <c r="E290" s="1498"/>
      <c r="F290" s="1544" t="str">
        <f t="shared" si="12"/>
        <v>Producto: Boniato  Palacio de la Revolución</v>
      </c>
    </row>
    <row r="291" spans="1:6" ht="15" customHeight="1" x14ac:dyDescent="0.2">
      <c r="A291" s="1012" t="s">
        <v>2081</v>
      </c>
      <c r="B291" s="1538">
        <v>20</v>
      </c>
      <c r="C291" s="1539">
        <f>C290/21.74</f>
        <v>85.321232859728227</v>
      </c>
      <c r="D291" s="1539">
        <f>D290/21.74*1.3</f>
        <v>1493.6899886844526</v>
      </c>
      <c r="E291" s="1685"/>
      <c r="F291" s="1544" t="str">
        <f t="shared" si="12"/>
        <v>Producto: Boniato  Palacio de la Revolución</v>
      </c>
    </row>
    <row r="292" spans="1:6" ht="15" customHeight="1" x14ac:dyDescent="0.2">
      <c r="A292" s="1499" t="s">
        <v>249</v>
      </c>
      <c r="B292" s="1480"/>
      <c r="C292" s="1522"/>
      <c r="D292" s="1523"/>
      <c r="E292" s="1498"/>
      <c r="F292" s="1544" t="str">
        <f t="shared" si="12"/>
        <v>Producto: Boniato  Palacio de la Revolución</v>
      </c>
    </row>
    <row r="293" spans="1:6" ht="15" customHeight="1" thickBot="1" x14ac:dyDescent="0.25">
      <c r="A293" s="1524"/>
      <c r="B293" s="1525"/>
      <c r="C293" s="1526"/>
      <c r="D293" s="1527"/>
      <c r="E293" s="1498"/>
      <c r="F293" s="1544" t="str">
        <f t="shared" si="12"/>
        <v>Producto: Boniato  Palacio de la Revolución</v>
      </c>
    </row>
    <row r="294" spans="1:6" ht="15" customHeight="1" x14ac:dyDescent="0.2">
      <c r="A294" s="1528" t="s">
        <v>1374</v>
      </c>
      <c r="B294" s="1529"/>
      <c r="C294" s="1530"/>
      <c r="D294" s="1531"/>
      <c r="E294" s="1684"/>
      <c r="F294" s="1544" t="str">
        <f t="shared" si="12"/>
        <v>Producto: Boniato  Palacio de la Revolución</v>
      </c>
    </row>
    <row r="295" spans="1:6" ht="15" customHeight="1" thickBot="1" x14ac:dyDescent="0.25">
      <c r="A295" s="1794"/>
      <c r="B295" s="1795"/>
      <c r="C295" s="1795"/>
      <c r="D295" s="1796"/>
      <c r="E295" s="1628"/>
      <c r="F295" s="1544" t="str">
        <f t="shared" si="12"/>
        <v>Producto: Boniato  Palacio de la Revolución</v>
      </c>
    </row>
  </sheetData>
  <autoFilter ref="A1:S295"/>
  <mergeCells count="28">
    <mergeCell ref="A169:D169"/>
    <mergeCell ref="A45:D45"/>
    <mergeCell ref="A2:D2"/>
    <mergeCell ref="A3:D3"/>
    <mergeCell ref="A129:D129"/>
    <mergeCell ref="A127:D127"/>
    <mergeCell ref="A128:D128"/>
    <mergeCell ref="B88:C88"/>
    <mergeCell ref="B130:C130"/>
    <mergeCell ref="A43:D43"/>
    <mergeCell ref="A86:D86"/>
    <mergeCell ref="B4:C4"/>
    <mergeCell ref="B46:C46"/>
    <mergeCell ref="A44:D44"/>
    <mergeCell ref="A87:D87"/>
    <mergeCell ref="A85:D85"/>
    <mergeCell ref="A295:D295"/>
    <mergeCell ref="A254:D254"/>
    <mergeCell ref="A255:D255"/>
    <mergeCell ref="A211:D211"/>
    <mergeCell ref="A212:D212"/>
    <mergeCell ref="A213:D213"/>
    <mergeCell ref="B172:C172"/>
    <mergeCell ref="B214:C214"/>
    <mergeCell ref="B256:C256"/>
    <mergeCell ref="A170:D170"/>
    <mergeCell ref="A171:D171"/>
    <mergeCell ref="A253:D253"/>
  </mergeCells>
  <phoneticPr fontId="0" type="noConversion"/>
  <hyperlinks>
    <hyperlink ref="D111" location="'Int Bancario'!F7" display="'Int Bancario'!F7"/>
    <hyperlink ref="D153" location="'Int Bancario'!F6" display="'Int Bancario'!F6"/>
    <hyperlink ref="D195" location="'Int Bancario'!F6" display="'Int Bancario'!F6"/>
    <hyperlink ref="D237" location="'Int Bancario'!F10" display="'Int Bancario'!F10"/>
    <hyperlink ref="D279" location="'Int Bancario'!F4" display="'Int Bancario'!F4"/>
    <hyperlink ref="D69" location="'Int Bancario'!F6" display="'Int Bancario'!F6"/>
  </hyperlinks>
  <pageMargins left="0.98425196850393704" right="0.19685039370078741" top="0.98425196850393704" bottom="0.15748031496062992" header="0.31496062992125984" footer="0.31496062992125984"/>
  <pageSetup orientation="portrait" horizontalDpi="300" verticalDpi="300" r:id="rId1"/>
  <headerFooter alignWithMargins="0"/>
  <rowBreaks count="6" manualBreakCount="6">
    <brk id="43" max="3" man="1"/>
    <brk id="85" max="3" man="1"/>
    <brk id="127" max="3" man="1"/>
    <brk id="169" max="3" man="1"/>
    <brk id="211" max="3" man="1"/>
    <brk id="253" max="3" man="1"/>
  </rowBreaks>
  <colBreaks count="2" manualBreakCount="2">
    <brk id="5" max="383" man="1"/>
    <brk id="9" max="38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06"/>
  <sheetViews>
    <sheetView showGridLines="0" showZeros="0" defaultGridColor="0" topLeftCell="A220" colorId="23" zoomScale="75" zoomScaleNormal="75" workbookViewId="0">
      <selection activeCell="K221" sqref="K221"/>
    </sheetView>
  </sheetViews>
  <sheetFormatPr baseColWidth="10" defaultColWidth="11.42578125" defaultRowHeight="20.65" customHeight="1" x14ac:dyDescent="0.25"/>
  <cols>
    <col min="1" max="1" width="46.5703125" style="184" customWidth="1"/>
    <col min="2" max="2" width="9.7109375" style="783" customWidth="1"/>
    <col min="3" max="3" width="11.28515625" style="1026" hidden="1" customWidth="1"/>
    <col min="4" max="4" width="11.28515625" style="783" hidden="1" customWidth="1"/>
    <col min="5" max="5" width="11.28515625" style="1478" hidden="1" customWidth="1"/>
    <col min="6" max="6" width="11.7109375" style="1026" customWidth="1"/>
    <col min="7" max="7" width="11.7109375" style="847" customWidth="1"/>
    <col min="8" max="8" width="17.140625" style="1721" customWidth="1"/>
    <col min="9" max="10" width="12.7109375" style="847" customWidth="1"/>
    <col min="11" max="11" width="42.7109375" style="1183" customWidth="1"/>
    <col min="12" max="12" width="11.42578125" style="1188"/>
    <col min="13" max="13" width="11.42578125" style="1183"/>
    <col min="14" max="14" width="11.42578125" style="1015"/>
    <col min="15" max="16384" width="11.42578125" style="783"/>
  </cols>
  <sheetData>
    <row r="1" spans="1:14" ht="20.65" customHeight="1" thickBot="1" x14ac:dyDescent="0.3">
      <c r="A1" s="789">
        <v>1</v>
      </c>
      <c r="B1" s="789">
        <v>2</v>
      </c>
      <c r="C1" s="1481"/>
      <c r="D1" s="789"/>
      <c r="E1" s="1467"/>
      <c r="F1" s="1027">
        <v>3</v>
      </c>
      <c r="G1" s="1027">
        <v>4</v>
      </c>
      <c r="H1" s="1728">
        <v>6</v>
      </c>
      <c r="I1" s="1027"/>
      <c r="J1" s="1027"/>
      <c r="K1" s="1547">
        <v>8</v>
      </c>
    </row>
    <row r="2" spans="1:14" s="845" customFormat="1" ht="20.65" customHeight="1" x14ac:dyDescent="0.25">
      <c r="A2" s="1807" t="s">
        <v>2093</v>
      </c>
      <c r="B2" s="1808"/>
      <c r="C2" s="1808"/>
      <c r="D2" s="1808"/>
      <c r="E2" s="1835"/>
      <c r="F2" s="1808"/>
      <c r="G2" s="1836"/>
      <c r="H2" s="1837"/>
      <c r="I2" s="1601"/>
      <c r="J2" s="1601"/>
      <c r="K2" s="1548" t="str">
        <f t="shared" ref="K2:K25" si="0">A$4</f>
        <v>Producto: Boniato</v>
      </c>
      <c r="L2" s="1189"/>
      <c r="M2" s="1190"/>
      <c r="N2" s="1029"/>
    </row>
    <row r="3" spans="1:14" s="845" customFormat="1" ht="20.65" customHeight="1" x14ac:dyDescent="0.25">
      <c r="A3" s="1824" t="s">
        <v>925</v>
      </c>
      <c r="B3" s="1825"/>
      <c r="C3" s="1825"/>
      <c r="D3" s="1825"/>
      <c r="E3" s="1838"/>
      <c r="F3" s="1825"/>
      <c r="G3" s="1839"/>
      <c r="H3" s="1840"/>
      <c r="I3" s="1600"/>
      <c r="J3" s="1600"/>
      <c r="K3" s="1548" t="str">
        <f t="shared" si="0"/>
        <v>Producto: Boniato</v>
      </c>
      <c r="L3" s="1189"/>
      <c r="M3" s="1190"/>
      <c r="N3" s="1029"/>
    </row>
    <row r="4" spans="1:14" ht="20.65" customHeight="1" thickBot="1" x14ac:dyDescent="0.25">
      <c r="A4" s="982" t="s">
        <v>963</v>
      </c>
      <c r="B4" s="980"/>
      <c r="C4" s="1021"/>
      <c r="D4" s="980"/>
      <c r="E4" s="1468"/>
      <c r="F4" s="1021"/>
      <c r="G4" s="1211"/>
      <c r="H4" s="1729"/>
      <c r="I4" s="1602"/>
      <c r="J4" s="1602"/>
      <c r="K4" s="1182" t="str">
        <f t="shared" si="0"/>
        <v>Producto: Boniato</v>
      </c>
      <c r="L4" s="1191"/>
      <c r="M4" s="1192"/>
      <c r="N4" s="1031"/>
    </row>
    <row r="5" spans="1:14" ht="20.65" customHeight="1" x14ac:dyDescent="0.2">
      <c r="A5" s="1802" t="s">
        <v>1378</v>
      </c>
      <c r="B5" s="1805" t="s">
        <v>226</v>
      </c>
      <c r="C5" s="1817" t="s">
        <v>1379</v>
      </c>
      <c r="D5" s="1814" t="s">
        <v>1963</v>
      </c>
      <c r="E5" s="1811" t="s">
        <v>1964</v>
      </c>
      <c r="F5" s="1817" t="s">
        <v>1962</v>
      </c>
      <c r="G5" s="1814" t="s">
        <v>1965</v>
      </c>
      <c r="H5" s="1811" t="s">
        <v>2046</v>
      </c>
      <c r="I5" s="1811" t="s">
        <v>2019</v>
      </c>
      <c r="J5" s="1603"/>
      <c r="K5" s="1182" t="str">
        <f t="shared" si="0"/>
        <v>Producto: Boniato</v>
      </c>
      <c r="L5" s="1832">
        <f>F10/21.74</f>
        <v>0</v>
      </c>
      <c r="M5" s="1832"/>
      <c r="N5" s="1797"/>
    </row>
    <row r="6" spans="1:14" ht="20.65" customHeight="1" x14ac:dyDescent="0.2">
      <c r="A6" s="1803"/>
      <c r="B6" s="1751"/>
      <c r="C6" s="1818"/>
      <c r="D6" s="1815"/>
      <c r="E6" s="1827"/>
      <c r="F6" s="1818"/>
      <c r="G6" s="1815"/>
      <c r="H6" s="1833"/>
      <c r="I6" s="1812"/>
      <c r="J6" s="1604"/>
      <c r="K6" s="1182" t="str">
        <f t="shared" si="0"/>
        <v>Producto: Boniato</v>
      </c>
      <c r="L6" s="1191"/>
      <c r="M6" s="1192"/>
      <c r="N6" s="1031"/>
    </row>
    <row r="7" spans="1:14" ht="20.65" customHeight="1" thickBot="1" x14ac:dyDescent="0.25">
      <c r="A7" s="1804"/>
      <c r="B7" s="1806"/>
      <c r="C7" s="1819"/>
      <c r="D7" s="1816"/>
      <c r="E7" s="1828"/>
      <c r="F7" s="1819"/>
      <c r="G7" s="1816"/>
      <c r="H7" s="1834"/>
      <c r="I7" s="1813"/>
      <c r="J7" s="1604"/>
      <c r="K7" s="1182" t="str">
        <f t="shared" si="0"/>
        <v>Producto: Boniato</v>
      </c>
      <c r="L7" s="1191"/>
      <c r="M7" s="1192"/>
      <c r="N7" s="1031"/>
    </row>
    <row r="8" spans="1:14" ht="20.65" customHeight="1" x14ac:dyDescent="0.2">
      <c r="A8" s="983">
        <v>1</v>
      </c>
      <c r="B8" s="984">
        <v>2</v>
      </c>
      <c r="C8" s="1482"/>
      <c r="D8" s="984"/>
      <c r="E8" s="1469"/>
      <c r="F8" s="985">
        <v>3</v>
      </c>
      <c r="G8" s="985">
        <v>4</v>
      </c>
      <c r="H8" s="1212">
        <v>6</v>
      </c>
      <c r="I8" s="1605"/>
      <c r="J8" s="1605"/>
      <c r="K8" s="1182" t="str">
        <f t="shared" si="0"/>
        <v>Producto: Boniato</v>
      </c>
      <c r="L8" s="1014"/>
      <c r="M8" s="1032"/>
      <c r="N8" s="1032"/>
    </row>
    <row r="9" spans="1:14" ht="20.65" customHeight="1" x14ac:dyDescent="0.2">
      <c r="A9" s="986" t="str">
        <f>'CT BONIATO'!M17</f>
        <v>Esq. boniato</v>
      </c>
      <c r="B9" s="1206" t="s">
        <v>940</v>
      </c>
      <c r="C9" s="1022">
        <f>'[6]CT BONIATO'!O17</f>
        <v>50</v>
      </c>
      <c r="D9" s="987">
        <f>'[6]CT BONIATO'!P17</f>
        <v>30</v>
      </c>
      <c r="E9" s="1470">
        <f>C9*D9</f>
        <v>1500</v>
      </c>
      <c r="F9" s="1022">
        <f>'CT BONIATO'!O17</f>
        <v>50</v>
      </c>
      <c r="G9" s="987">
        <v>700</v>
      </c>
      <c r="H9" s="1213">
        <f t="shared" ref="H9:H24" si="1">F9*G9</f>
        <v>35000</v>
      </c>
      <c r="I9" s="1606">
        <f>H9/H$34%</f>
        <v>52.782430976354689</v>
      </c>
      <c r="J9" s="1606"/>
      <c r="K9" s="1182" t="str">
        <f t="shared" si="0"/>
        <v>Producto: Boniato</v>
      </c>
      <c r="L9" s="1014"/>
      <c r="M9" s="1032"/>
      <c r="N9" s="1032"/>
    </row>
    <row r="10" spans="1:14" s="785" customFormat="1" ht="20.65" customHeight="1" x14ac:dyDescent="0.2">
      <c r="A10" s="988" t="s">
        <v>2071</v>
      </c>
      <c r="B10" s="989"/>
      <c r="C10" s="990">
        <v>0.6</v>
      </c>
      <c r="D10" s="820">
        <f>'[6]PRECIOS INSUMOS 2015'!E166</f>
        <v>1250</v>
      </c>
      <c r="E10" s="1470">
        <f t="shared" ref="E10:E32" si="2">C10*D10</f>
        <v>750</v>
      </c>
      <c r="F10" s="990"/>
      <c r="G10" s="820"/>
      <c r="H10" s="1214">
        <f>H17+H16+H14+H13+H12+H11</f>
        <v>13442.7</v>
      </c>
      <c r="I10" s="1606">
        <f t="shared" ref="I10:I34" si="3">H10/H$34%</f>
        <v>20.272525282452666</v>
      </c>
      <c r="J10" s="1606"/>
      <c r="K10" s="1182" t="str">
        <f t="shared" si="0"/>
        <v>Producto: Boniato</v>
      </c>
      <c r="L10" s="1033"/>
      <c r="M10" s="1034"/>
      <c r="N10" s="1034"/>
    </row>
    <row r="11" spans="1:14" s="785" customFormat="1" ht="20.65" customHeight="1" x14ac:dyDescent="0.2">
      <c r="A11" s="988" t="s">
        <v>2072</v>
      </c>
      <c r="B11" s="989" t="s">
        <v>638</v>
      </c>
      <c r="C11" s="990"/>
      <c r="D11" s="820"/>
      <c r="E11" s="1470"/>
      <c r="F11" s="990">
        <v>18</v>
      </c>
      <c r="G11" s="820">
        <v>8.4499999999999993</v>
      </c>
      <c r="H11" s="1214">
        <f t="shared" ref="H11:H16" si="4">F11*G11</f>
        <v>152.1</v>
      </c>
      <c r="I11" s="1606"/>
      <c r="J11" s="1606"/>
      <c r="K11" s="1182"/>
      <c r="L11" s="1033"/>
      <c r="M11" s="1034"/>
      <c r="N11" s="1034"/>
    </row>
    <row r="12" spans="1:14" s="785" customFormat="1" ht="20.65" customHeight="1" x14ac:dyDescent="0.2">
      <c r="A12" s="988" t="s">
        <v>2073</v>
      </c>
      <c r="B12" s="989" t="s">
        <v>638</v>
      </c>
      <c r="C12" s="990"/>
      <c r="D12" s="820"/>
      <c r="E12" s="1470"/>
      <c r="F12" s="990">
        <v>6</v>
      </c>
      <c r="G12" s="820">
        <v>7.29</v>
      </c>
      <c r="H12" s="1214">
        <f t="shared" si="4"/>
        <v>43.74</v>
      </c>
      <c r="I12" s="1606"/>
      <c r="J12" s="1606"/>
      <c r="K12" s="1182"/>
      <c r="L12" s="1033"/>
      <c r="M12" s="1034"/>
      <c r="N12" s="1034"/>
    </row>
    <row r="13" spans="1:14" s="785" customFormat="1" ht="20.65" customHeight="1" x14ac:dyDescent="0.2">
      <c r="A13" s="988" t="s">
        <v>2074</v>
      </c>
      <c r="B13" s="989" t="s">
        <v>437</v>
      </c>
      <c r="C13" s="990"/>
      <c r="D13" s="820"/>
      <c r="E13" s="1470"/>
      <c r="F13" s="990">
        <v>10</v>
      </c>
      <c r="G13" s="820">
        <v>653</v>
      </c>
      <c r="H13" s="1214">
        <f t="shared" si="4"/>
        <v>6530</v>
      </c>
      <c r="I13" s="1606"/>
      <c r="J13" s="1606"/>
      <c r="K13" s="1182"/>
      <c r="L13" s="1033"/>
      <c r="M13" s="1034"/>
      <c r="N13" s="1034"/>
    </row>
    <row r="14" spans="1:14" s="785" customFormat="1" ht="20.65" customHeight="1" x14ac:dyDescent="0.2">
      <c r="A14" s="988" t="s">
        <v>2075</v>
      </c>
      <c r="B14" s="989" t="s">
        <v>437</v>
      </c>
      <c r="C14" s="990"/>
      <c r="D14" s="820"/>
      <c r="E14" s="1470"/>
      <c r="F14" s="990">
        <v>4</v>
      </c>
      <c r="G14" s="820">
        <v>1597.54</v>
      </c>
      <c r="H14" s="1214">
        <f t="shared" si="4"/>
        <v>6390.16</v>
      </c>
      <c r="I14" s="1606"/>
      <c r="J14" s="1606"/>
      <c r="K14" s="1182"/>
      <c r="L14" s="1033"/>
      <c r="M14" s="1034"/>
      <c r="N14" s="1034"/>
    </row>
    <row r="15" spans="1:14" s="785" customFormat="1" ht="20.65" customHeight="1" x14ac:dyDescent="0.2">
      <c r="A15" s="988" t="s">
        <v>2082</v>
      </c>
      <c r="B15" s="989" t="s">
        <v>437</v>
      </c>
      <c r="C15" s="990"/>
      <c r="D15" s="820"/>
      <c r="E15" s="1470"/>
      <c r="F15" s="990">
        <v>5</v>
      </c>
      <c r="G15" s="820">
        <v>887.19</v>
      </c>
      <c r="H15" s="1214">
        <f t="shared" si="4"/>
        <v>4435.9500000000007</v>
      </c>
      <c r="I15" s="1606"/>
      <c r="J15" s="1606"/>
      <c r="K15" s="1182"/>
      <c r="L15" s="1033"/>
      <c r="M15" s="1034"/>
      <c r="N15" s="1034"/>
    </row>
    <row r="16" spans="1:14" s="785" customFormat="1" ht="20.65" customHeight="1" x14ac:dyDescent="0.2">
      <c r="A16" s="988" t="s">
        <v>2076</v>
      </c>
      <c r="B16" s="989" t="s">
        <v>638</v>
      </c>
      <c r="C16" s="990"/>
      <c r="D16" s="820"/>
      <c r="E16" s="1470"/>
      <c r="F16" s="990">
        <v>18</v>
      </c>
      <c r="G16" s="820">
        <v>16</v>
      </c>
      <c r="H16" s="1214">
        <f t="shared" si="4"/>
        <v>288</v>
      </c>
      <c r="I16" s="1606"/>
      <c r="J16" s="1606"/>
      <c r="K16" s="1182"/>
      <c r="L16" s="1033"/>
      <c r="M16" s="1034"/>
      <c r="N16" s="1034"/>
    </row>
    <row r="17" spans="1:14" ht="20.65" customHeight="1" thickBot="1" x14ac:dyDescent="0.25">
      <c r="A17" s="986" t="s">
        <v>2077</v>
      </c>
      <c r="B17" s="989" t="s">
        <v>292</v>
      </c>
      <c r="C17" s="1483"/>
      <c r="D17" s="989"/>
      <c r="E17" s="1470">
        <f t="shared" si="2"/>
        <v>0</v>
      </c>
      <c r="F17" s="990">
        <v>6</v>
      </c>
      <c r="G17" s="820">
        <v>6.45</v>
      </c>
      <c r="H17" s="1213">
        <f t="shared" si="1"/>
        <v>38.700000000000003</v>
      </c>
      <c r="I17" s="1606">
        <f t="shared" si="3"/>
        <v>5.8362287965283623E-2</v>
      </c>
      <c r="J17" s="1606"/>
      <c r="K17" s="1182" t="str">
        <f t="shared" si="0"/>
        <v>Producto: Boniato</v>
      </c>
      <c r="L17" s="1030"/>
      <c r="M17" s="1031"/>
      <c r="N17" s="1031"/>
    </row>
    <row r="18" spans="1:14" ht="20.65" customHeight="1" thickBot="1" x14ac:dyDescent="0.25">
      <c r="A18" s="1724" t="s">
        <v>2055</v>
      </c>
      <c r="B18" s="989" t="s">
        <v>638</v>
      </c>
      <c r="C18" s="990">
        <f>'[6]CT BONIATO'!O139</f>
        <v>2</v>
      </c>
      <c r="D18" s="990">
        <f>'[6]PRECIOS INSUMOS 2015'!C$92</f>
        <v>30</v>
      </c>
      <c r="E18" s="1470">
        <f t="shared" si="2"/>
        <v>60</v>
      </c>
      <c r="F18" s="1238">
        <v>6</v>
      </c>
      <c r="G18" s="1460">
        <v>30</v>
      </c>
      <c r="H18" s="1213">
        <f t="shared" si="1"/>
        <v>180</v>
      </c>
      <c r="I18" s="1606">
        <f t="shared" si="3"/>
        <v>0.27145250216410982</v>
      </c>
      <c r="J18" s="1606"/>
      <c r="K18" s="1182" t="str">
        <f t="shared" si="0"/>
        <v>Producto: Boniato</v>
      </c>
      <c r="L18" s="1030"/>
      <c r="M18" s="847"/>
      <c r="N18" s="1031"/>
    </row>
    <row r="19" spans="1:14" ht="20.65" customHeight="1" thickBot="1" x14ac:dyDescent="0.25">
      <c r="A19" s="1725" t="s">
        <v>2056</v>
      </c>
      <c r="B19" s="989" t="s">
        <v>638</v>
      </c>
      <c r="C19" s="1484">
        <v>35</v>
      </c>
      <c r="D19" s="991">
        <f>'[6]CT BONIATO'!P20</f>
        <v>8.9499999999999993</v>
      </c>
      <c r="E19" s="1470">
        <f t="shared" si="2"/>
        <v>313.25</v>
      </c>
      <c r="F19" s="1238">
        <v>6</v>
      </c>
      <c r="G19" s="1460">
        <v>30</v>
      </c>
      <c r="H19" s="1213">
        <f t="shared" si="1"/>
        <v>180</v>
      </c>
      <c r="I19" s="1606">
        <f t="shared" si="3"/>
        <v>0.27145250216410982</v>
      </c>
      <c r="J19" s="1606"/>
      <c r="K19" s="1182" t="str">
        <f t="shared" si="0"/>
        <v>Producto: Boniato</v>
      </c>
      <c r="L19" s="1030"/>
      <c r="M19" s="1031"/>
      <c r="N19" s="1031"/>
    </row>
    <row r="20" spans="1:14" ht="20.65" customHeight="1" thickBot="1" x14ac:dyDescent="0.25">
      <c r="A20" s="1725" t="s">
        <v>2057</v>
      </c>
      <c r="B20" s="989" t="s">
        <v>638</v>
      </c>
      <c r="C20" s="1022">
        <f>'[6]CT BONIATO'!O72+'[6]CT BONIATO'!O80</f>
        <v>4</v>
      </c>
      <c r="D20" s="987">
        <f>'[6]PRECIOS INSUMOS 2015'!C85</f>
        <v>87</v>
      </c>
      <c r="E20" s="1470">
        <f t="shared" si="2"/>
        <v>348</v>
      </c>
      <c r="F20" s="1238">
        <v>6</v>
      </c>
      <c r="G20" s="1460">
        <v>30</v>
      </c>
      <c r="H20" s="1213">
        <f t="shared" si="1"/>
        <v>180</v>
      </c>
      <c r="I20" s="1606">
        <f t="shared" si="3"/>
        <v>0.27145250216410982</v>
      </c>
      <c r="J20" s="1606"/>
      <c r="K20" s="1182" t="str">
        <f t="shared" si="0"/>
        <v>Producto: Boniato</v>
      </c>
      <c r="L20" s="1030"/>
      <c r="M20" s="1031"/>
      <c r="N20" s="1031"/>
    </row>
    <row r="21" spans="1:14" ht="20.65" customHeight="1" thickBot="1" x14ac:dyDescent="0.25">
      <c r="A21" s="1725" t="s">
        <v>2056</v>
      </c>
      <c r="B21" s="989" t="s">
        <v>638</v>
      </c>
      <c r="C21" s="990">
        <f>'[6]CT BONIATO'!O31</f>
        <v>3</v>
      </c>
      <c r="D21" s="820">
        <f>'[6]PRECIOS INSUMOS 2015'!H$17</f>
        <v>43</v>
      </c>
      <c r="E21" s="1470">
        <f t="shared" si="2"/>
        <v>129</v>
      </c>
      <c r="F21" s="1238">
        <v>20</v>
      </c>
      <c r="G21" s="1460">
        <v>10</v>
      </c>
      <c r="H21" s="1213">
        <f t="shared" si="1"/>
        <v>200</v>
      </c>
      <c r="I21" s="1606">
        <f t="shared" si="3"/>
        <v>0.30161389129345539</v>
      </c>
      <c r="J21" s="1606"/>
      <c r="K21" s="1182" t="str">
        <f t="shared" si="0"/>
        <v>Producto: Boniato</v>
      </c>
      <c r="L21" s="1030"/>
      <c r="M21" s="1031"/>
      <c r="N21" s="1031"/>
    </row>
    <row r="22" spans="1:14" ht="20.25" customHeight="1" thickBot="1" x14ac:dyDescent="0.25">
      <c r="A22" s="1726" t="s">
        <v>2058</v>
      </c>
      <c r="B22" s="989" t="s">
        <v>2060</v>
      </c>
      <c r="C22" s="1484">
        <f>'[6]CT BONIATO'!O138</f>
        <v>4</v>
      </c>
      <c r="D22" s="991">
        <f>'[6]PRECIOS INSUMOS 2015'!C$100</f>
        <v>15</v>
      </c>
      <c r="E22" s="1470">
        <f t="shared" si="2"/>
        <v>60</v>
      </c>
      <c r="F22" s="1238">
        <v>14</v>
      </c>
      <c r="G22" s="1460">
        <v>35</v>
      </c>
      <c r="H22" s="1213">
        <f t="shared" si="1"/>
        <v>490</v>
      </c>
      <c r="I22" s="1606">
        <f t="shared" si="3"/>
        <v>0.73895403366896573</v>
      </c>
      <c r="J22" s="1606"/>
      <c r="K22" s="1182" t="str">
        <f t="shared" si="0"/>
        <v>Producto: Boniato</v>
      </c>
      <c r="L22" s="1030"/>
      <c r="M22" s="1031"/>
      <c r="N22" s="1031"/>
    </row>
    <row r="23" spans="1:14" ht="20.65" customHeight="1" thickBot="1" x14ac:dyDescent="0.25">
      <c r="A23" s="1725" t="s">
        <v>2059</v>
      </c>
      <c r="B23" s="989" t="s">
        <v>2060</v>
      </c>
      <c r="C23" s="1485"/>
      <c r="D23" s="1459"/>
      <c r="E23" s="1470">
        <f t="shared" si="2"/>
        <v>0</v>
      </c>
      <c r="F23" s="1238">
        <v>60</v>
      </c>
      <c r="G23" s="1239">
        <v>35</v>
      </c>
      <c r="H23" s="1213">
        <f t="shared" si="1"/>
        <v>2100</v>
      </c>
      <c r="I23" s="1606">
        <f t="shared" si="3"/>
        <v>3.1669458585812813</v>
      </c>
      <c r="J23" s="1606">
        <v>874.45</v>
      </c>
      <c r="K23" s="1182" t="str">
        <f t="shared" si="0"/>
        <v>Producto: Boniato</v>
      </c>
      <c r="L23" s="1030"/>
      <c r="M23" s="1031"/>
      <c r="N23" s="1031"/>
    </row>
    <row r="24" spans="1:14" ht="20.65" customHeight="1" thickBot="1" x14ac:dyDescent="0.25">
      <c r="A24" s="1725" t="s">
        <v>1909</v>
      </c>
      <c r="B24" s="989" t="s">
        <v>2061</v>
      </c>
      <c r="C24" s="1485"/>
      <c r="D24" s="1459"/>
      <c r="E24" s="1470">
        <f t="shared" si="2"/>
        <v>0</v>
      </c>
      <c r="F24" s="1238">
        <v>80</v>
      </c>
      <c r="G24" s="1239">
        <v>12</v>
      </c>
      <c r="H24" s="1213">
        <f t="shared" si="1"/>
        <v>960</v>
      </c>
      <c r="I24" s="1606">
        <f t="shared" si="3"/>
        <v>1.4477466782085857</v>
      </c>
      <c r="J24" s="1606">
        <v>1093.33</v>
      </c>
      <c r="K24" s="1182" t="str">
        <f t="shared" si="0"/>
        <v>Producto: Boniato</v>
      </c>
      <c r="L24" s="1030"/>
      <c r="M24" s="1031"/>
      <c r="N24" s="1031"/>
    </row>
    <row r="25" spans="1:14" ht="20.65" customHeight="1" x14ac:dyDescent="0.2">
      <c r="A25" s="986" t="s">
        <v>1877</v>
      </c>
      <c r="B25" s="989"/>
      <c r="C25" s="1485"/>
      <c r="D25" s="1459"/>
      <c r="E25" s="1470">
        <f t="shared" si="2"/>
        <v>0</v>
      </c>
      <c r="F25" s="1238"/>
      <c r="G25" s="1239"/>
      <c r="H25" s="1727">
        <f>H18+H19+H20+H21+H22+H23+H24</f>
        <v>4290</v>
      </c>
      <c r="I25" s="1606">
        <f t="shared" si="3"/>
        <v>6.4696179682446182</v>
      </c>
      <c r="J25" s="1606">
        <v>698.1</v>
      </c>
      <c r="K25" s="1182" t="str">
        <f t="shared" si="0"/>
        <v>Producto: Boniato</v>
      </c>
      <c r="L25" s="1030"/>
      <c r="M25" s="1031"/>
      <c r="N25" s="1031"/>
    </row>
    <row r="26" spans="1:14" ht="20.65" customHeight="1" x14ac:dyDescent="0.2">
      <c r="A26" s="991" t="s">
        <v>1856</v>
      </c>
      <c r="B26" s="989"/>
      <c r="C26" s="1485"/>
      <c r="D26" s="1459"/>
      <c r="E26" s="1470">
        <f t="shared" si="2"/>
        <v>0</v>
      </c>
      <c r="F26" s="1207">
        <v>217</v>
      </c>
      <c r="G26" s="1208">
        <v>30</v>
      </c>
      <c r="H26" s="1213">
        <f>F26*G26</f>
        <v>6510</v>
      </c>
      <c r="I26" s="1606">
        <f t="shared" si="3"/>
        <v>9.8175321616019726</v>
      </c>
      <c r="J26" s="1606"/>
      <c r="K26" s="1182" t="str">
        <f t="shared" ref="K26:K38" si="5">A$4</f>
        <v>Producto: Boniato</v>
      </c>
      <c r="L26" s="1030"/>
      <c r="M26" s="1031"/>
      <c r="N26" s="1031"/>
    </row>
    <row r="27" spans="1:14" ht="20.65" customHeight="1" x14ac:dyDescent="0.2">
      <c r="A27" s="991" t="s">
        <v>952</v>
      </c>
      <c r="B27" s="989"/>
      <c r="C27" s="1485"/>
      <c r="D27" s="1459"/>
      <c r="E27" s="1470">
        <v>200</v>
      </c>
      <c r="F27" s="1207"/>
      <c r="G27" s="1208"/>
      <c r="H27" s="1213"/>
      <c r="I27" s="1606">
        <f t="shared" si="3"/>
        <v>0</v>
      </c>
      <c r="J27" s="1606"/>
      <c r="K27" s="1182" t="str">
        <f t="shared" si="5"/>
        <v>Producto: Boniato</v>
      </c>
      <c r="L27" s="1030"/>
      <c r="M27" s="1031"/>
      <c r="N27" s="1031"/>
    </row>
    <row r="28" spans="1:14" s="184" customFormat="1" ht="20.65" customHeight="1" x14ac:dyDescent="0.25">
      <c r="A28" s="843" t="s">
        <v>1477</v>
      </c>
      <c r="B28" s="842"/>
      <c r="C28" s="1486"/>
      <c r="D28" s="842"/>
      <c r="E28" s="1471">
        <f>SUM(E9:E26)</f>
        <v>3160.25</v>
      </c>
      <c r="F28" s="1215"/>
      <c r="G28" s="1215"/>
      <c r="H28" s="1215">
        <f>H9+H10+H25+H26</f>
        <v>59242.7</v>
      </c>
      <c r="I28" s="1606">
        <f t="shared" si="3"/>
        <v>89.342106388653946</v>
      </c>
      <c r="J28" s="1606"/>
      <c r="K28" s="1548" t="str">
        <f t="shared" si="5"/>
        <v>Producto: Boniato</v>
      </c>
      <c r="L28" s="1035"/>
      <c r="M28" s="1036"/>
      <c r="N28" s="1036"/>
    </row>
    <row r="29" spans="1:14" ht="20.65" customHeight="1" x14ac:dyDescent="0.2">
      <c r="A29" s="986" t="s">
        <v>933</v>
      </c>
      <c r="B29" s="992"/>
      <c r="C29" s="1487"/>
      <c r="D29" s="992"/>
      <c r="E29" s="1470">
        <f t="shared" si="2"/>
        <v>0</v>
      </c>
      <c r="F29" s="1479"/>
      <c r="G29" s="820"/>
      <c r="H29" s="1213"/>
      <c r="I29" s="1606">
        <f t="shared" si="3"/>
        <v>0</v>
      </c>
      <c r="J29" s="1606"/>
      <c r="K29" s="1182" t="str">
        <f t="shared" si="5"/>
        <v>Producto: Boniato</v>
      </c>
      <c r="L29" s="1030"/>
      <c r="M29" s="1031"/>
      <c r="N29" s="1031"/>
    </row>
    <row r="30" spans="1:14" ht="20.65" customHeight="1" x14ac:dyDescent="0.2">
      <c r="A30" s="986" t="s">
        <v>283</v>
      </c>
      <c r="B30" s="992" t="s">
        <v>934</v>
      </c>
      <c r="C30" s="1023">
        <v>5.4</v>
      </c>
      <c r="D30" s="820">
        <v>18</v>
      </c>
      <c r="E30" s="1470">
        <f t="shared" si="2"/>
        <v>97.2</v>
      </c>
      <c r="F30" s="1023">
        <f>'Agua y energía'!E27/1000</f>
        <v>5.1879999999999997</v>
      </c>
      <c r="G30" s="820">
        <f>'Otros insumos'!C$19</f>
        <v>86.4</v>
      </c>
      <c r="H30" s="1213">
        <f>F30*G30</f>
        <v>448.2432</v>
      </c>
      <c r="I30" s="1606">
        <f t="shared" si="3"/>
        <v>0.67598187898915285</v>
      </c>
      <c r="J30" s="1606"/>
      <c r="K30" s="1182" t="str">
        <f t="shared" si="5"/>
        <v>Producto: Boniato</v>
      </c>
      <c r="L30" s="1030"/>
      <c r="M30" s="1031" t="e">
        <f>#REF!</f>
        <v>#REF!</v>
      </c>
      <c r="N30" s="1031"/>
    </row>
    <row r="31" spans="1:14" s="1019" customFormat="1" ht="20.65" customHeight="1" x14ac:dyDescent="0.2">
      <c r="A31" s="1016" t="s">
        <v>234</v>
      </c>
      <c r="B31" s="1017" t="s">
        <v>638</v>
      </c>
      <c r="C31" s="1024">
        <v>285</v>
      </c>
      <c r="D31" s="1018">
        <f>'[6]PRECIOS INSUMOS 2015'!C$5</f>
        <v>2</v>
      </c>
      <c r="E31" s="1692">
        <f t="shared" si="2"/>
        <v>570</v>
      </c>
      <c r="F31" s="1024">
        <v>210</v>
      </c>
      <c r="G31" s="1018">
        <v>13.9</v>
      </c>
      <c r="H31" s="1216">
        <f>F31*G31</f>
        <v>2919</v>
      </c>
      <c r="I31" s="1693">
        <f t="shared" si="3"/>
        <v>4.4020547434279811</v>
      </c>
      <c r="J31" s="1693"/>
      <c r="K31" s="1579" t="str">
        <f t="shared" si="5"/>
        <v>Producto: Boniato</v>
      </c>
      <c r="L31" s="1580">
        <v>24.75</v>
      </c>
      <c r="M31" s="1581">
        <f>F31*L31</f>
        <v>5197.5</v>
      </c>
      <c r="N31" s="1581"/>
    </row>
    <row r="32" spans="1:14" s="1019" customFormat="1" ht="20.65" customHeight="1" x14ac:dyDescent="0.2">
      <c r="A32" s="1694" t="s">
        <v>935</v>
      </c>
      <c r="B32" s="1017" t="s">
        <v>936</v>
      </c>
      <c r="C32" s="1024">
        <f>'[6]CT BONIATO'!Q151</f>
        <v>5553.3309350819618</v>
      </c>
      <c r="D32" s="1018">
        <v>0.17</v>
      </c>
      <c r="E32" s="1692">
        <f t="shared" si="2"/>
        <v>944.06625896393359</v>
      </c>
      <c r="F32" s="1024">
        <v>2000</v>
      </c>
      <c r="G32" s="1018">
        <f>'Otros insumos'!F32</f>
        <v>1.85</v>
      </c>
      <c r="H32" s="1216">
        <f>F32*G32</f>
        <v>3700</v>
      </c>
      <c r="I32" s="1693">
        <f t="shared" si="3"/>
        <v>5.5798569889289249</v>
      </c>
      <c r="J32" s="1693"/>
      <c r="K32" s="1579" t="str">
        <f t="shared" si="5"/>
        <v>Producto: Boniato</v>
      </c>
      <c r="L32" s="1580"/>
      <c r="M32" s="1581" t="e">
        <f>#REF!</f>
        <v>#REF!</v>
      </c>
      <c r="N32" s="1581"/>
    </row>
    <row r="33" spans="1:14" s="184" customFormat="1" ht="20.65" customHeight="1" x14ac:dyDescent="0.25">
      <c r="A33" s="844" t="s">
        <v>1476</v>
      </c>
      <c r="B33" s="842"/>
      <c r="C33" s="1486"/>
      <c r="D33" s="842"/>
      <c r="E33" s="1472">
        <f>E30+E31+E32</f>
        <v>1611.2662589639335</v>
      </c>
      <c r="F33" s="1217"/>
      <c r="G33" s="1217"/>
      <c r="H33" s="1217">
        <f>H30+H31+H32</f>
        <v>7067.2431999999999</v>
      </c>
      <c r="I33" s="1606">
        <f t="shared" si="3"/>
        <v>10.657893611346058</v>
      </c>
      <c r="J33" s="1606"/>
      <c r="K33" s="1548" t="str">
        <f t="shared" si="5"/>
        <v>Producto: Boniato</v>
      </c>
      <c r="L33" s="1035"/>
      <c r="M33" s="1036" t="e">
        <f>SUM(M30:M32)</f>
        <v>#REF!</v>
      </c>
      <c r="N33" s="1036"/>
    </row>
    <row r="34" spans="1:14" ht="20.65" customHeight="1" thickBot="1" x14ac:dyDescent="0.3">
      <c r="A34" s="1311" t="s">
        <v>962</v>
      </c>
      <c r="B34" s="1312"/>
      <c r="C34" s="1488"/>
      <c r="D34" s="1312"/>
      <c r="E34" s="1473">
        <f>E28+E33</f>
        <v>4771.5162589639331</v>
      </c>
      <c r="F34" s="1218">
        <f>F28+F33</f>
        <v>0</v>
      </c>
      <c r="G34" s="1218">
        <f>G28+G33</f>
        <v>0</v>
      </c>
      <c r="H34" s="1218">
        <f>H28+H33</f>
        <v>66309.943199999994</v>
      </c>
      <c r="I34" s="1606">
        <f t="shared" si="3"/>
        <v>100</v>
      </c>
      <c r="J34" s="1606"/>
      <c r="K34" s="1182" t="str">
        <f t="shared" si="5"/>
        <v>Producto: Boniato</v>
      </c>
      <c r="L34" s="1030"/>
      <c r="M34" s="1031"/>
      <c r="N34" s="1031"/>
    </row>
    <row r="35" spans="1:14" ht="20.65" customHeight="1" x14ac:dyDescent="0.2">
      <c r="A35" s="1798" t="s">
        <v>232</v>
      </c>
      <c r="B35" s="1799"/>
      <c r="C35" s="1799"/>
      <c r="D35" s="1799"/>
      <c r="E35" s="1799"/>
      <c r="F35" s="1799"/>
      <c r="G35" s="1841"/>
      <c r="H35" s="1829" t="s">
        <v>230</v>
      </c>
      <c r="I35" s="848"/>
      <c r="J35" s="848"/>
      <c r="K35" s="1182" t="str">
        <f t="shared" si="5"/>
        <v>Producto: Boniato</v>
      </c>
      <c r="L35" s="1030"/>
      <c r="M35" s="1031"/>
      <c r="N35" s="1031"/>
    </row>
    <row r="36" spans="1:14" ht="20.65" customHeight="1" thickBot="1" x14ac:dyDescent="0.25">
      <c r="A36" s="1820"/>
      <c r="B36" s="1821"/>
      <c r="C36" s="1821"/>
      <c r="D36" s="1821"/>
      <c r="E36" s="1821"/>
      <c r="F36" s="1821"/>
      <c r="G36" s="1842"/>
      <c r="H36" s="1830"/>
      <c r="I36" s="848"/>
      <c r="J36" s="848"/>
      <c r="K36" s="1182" t="str">
        <f t="shared" si="5"/>
        <v>Producto: Boniato</v>
      </c>
      <c r="L36" s="1030"/>
      <c r="M36" s="1031"/>
      <c r="N36" s="1031"/>
    </row>
    <row r="37" spans="1:14" ht="20.65" customHeight="1" x14ac:dyDescent="0.2">
      <c r="A37" s="1798" t="s">
        <v>969</v>
      </c>
      <c r="B37" s="1799"/>
      <c r="C37" s="1799"/>
      <c r="D37" s="1799"/>
      <c r="E37" s="1799"/>
      <c r="F37" s="1799"/>
      <c r="G37" s="1841"/>
      <c r="H37" s="1829">
        <f ca="1">TODAY()</f>
        <v>45398</v>
      </c>
      <c r="I37" s="848"/>
      <c r="J37" s="848"/>
      <c r="K37" s="1182" t="str">
        <f t="shared" si="5"/>
        <v>Producto: Boniato</v>
      </c>
      <c r="L37" s="1030"/>
      <c r="M37" s="1031"/>
      <c r="N37" s="1031"/>
    </row>
    <row r="38" spans="1:14" ht="20.65" customHeight="1" thickBot="1" x14ac:dyDescent="0.25">
      <c r="A38" s="1822"/>
      <c r="B38" s="1823"/>
      <c r="C38" s="1823"/>
      <c r="D38" s="1823"/>
      <c r="E38" s="1823"/>
      <c r="F38" s="1823"/>
      <c r="G38" s="1831"/>
      <c r="H38" s="1830"/>
      <c r="I38" s="848"/>
      <c r="J38" s="848"/>
      <c r="K38" s="1182" t="str">
        <f t="shared" si="5"/>
        <v>Producto: Boniato</v>
      </c>
      <c r="L38" s="1030"/>
      <c r="M38" s="1031"/>
      <c r="N38" s="1031"/>
    </row>
    <row r="39" spans="1:14" s="845" customFormat="1" ht="20.65" customHeight="1" x14ac:dyDescent="0.25">
      <c r="A39" s="1807" t="s">
        <v>2093</v>
      </c>
      <c r="B39" s="1808"/>
      <c r="C39" s="1808"/>
      <c r="D39" s="1808"/>
      <c r="E39" s="1808"/>
      <c r="F39" s="1808"/>
      <c r="G39" s="1808"/>
      <c r="H39" s="1809"/>
      <c r="I39" s="1607"/>
      <c r="J39" s="1607"/>
      <c r="K39" s="1548" t="str">
        <f t="shared" ref="K39:K70" si="6">A$41</f>
        <v>Producto: Malanga colocasia</v>
      </c>
      <c r="L39" s="1028"/>
      <c r="M39" s="1029"/>
      <c r="N39" s="1029"/>
    </row>
    <row r="40" spans="1:14" s="845" customFormat="1" ht="20.65" customHeight="1" x14ac:dyDescent="0.25">
      <c r="A40" s="1824" t="s">
        <v>925</v>
      </c>
      <c r="B40" s="1825"/>
      <c r="C40" s="1825"/>
      <c r="D40" s="1825"/>
      <c r="E40" s="1825"/>
      <c r="F40" s="1825"/>
      <c r="G40" s="1825"/>
      <c r="H40" s="1826"/>
      <c r="I40" s="1599"/>
      <c r="J40" s="1599"/>
      <c r="K40" s="1548" t="str">
        <f t="shared" si="6"/>
        <v>Producto: Malanga colocasia</v>
      </c>
      <c r="L40" s="1028"/>
      <c r="M40" s="1029"/>
      <c r="N40" s="1029"/>
    </row>
    <row r="41" spans="1:14" ht="20.65" customHeight="1" thickBot="1" x14ac:dyDescent="0.25">
      <c r="A41" s="982" t="s">
        <v>1370</v>
      </c>
      <c r="B41" s="980"/>
      <c r="C41" s="1021"/>
      <c r="D41" s="980"/>
      <c r="E41" s="1468"/>
      <c r="F41" s="1021"/>
      <c r="G41" s="980"/>
      <c r="H41" s="1219"/>
      <c r="I41" s="1608"/>
      <c r="J41" s="1608"/>
      <c r="K41" s="1182" t="str">
        <f t="shared" si="6"/>
        <v>Producto: Malanga colocasia</v>
      </c>
      <c r="L41" s="1030"/>
      <c r="M41" s="1031"/>
      <c r="N41" s="1031"/>
    </row>
    <row r="42" spans="1:14" ht="20.65" customHeight="1" x14ac:dyDescent="0.2">
      <c r="A42" s="1802" t="s">
        <v>1378</v>
      </c>
      <c r="B42" s="1805" t="s">
        <v>226</v>
      </c>
      <c r="C42" s="1817" t="s">
        <v>1379</v>
      </c>
      <c r="D42" s="1814" t="s">
        <v>1963</v>
      </c>
      <c r="E42" s="1811" t="s">
        <v>1964</v>
      </c>
      <c r="F42" s="1817" t="s">
        <v>1962</v>
      </c>
      <c r="G42" s="1814" t="s">
        <v>1965</v>
      </c>
      <c r="H42" s="1811" t="s">
        <v>1966</v>
      </c>
      <c r="I42" s="1603"/>
      <c r="J42" s="1603"/>
      <c r="K42" s="1182" t="str">
        <f t="shared" si="6"/>
        <v>Producto: Malanga colocasia</v>
      </c>
      <c r="L42" s="1797">
        <f>F46/21.74</f>
        <v>1.8859245630174795</v>
      </c>
      <c r="M42" s="1797"/>
      <c r="N42" s="1797"/>
    </row>
    <row r="43" spans="1:14" ht="20.65" customHeight="1" x14ac:dyDescent="0.2">
      <c r="A43" s="1803"/>
      <c r="B43" s="1751"/>
      <c r="C43" s="1818"/>
      <c r="D43" s="1815"/>
      <c r="E43" s="1827"/>
      <c r="F43" s="1818"/>
      <c r="G43" s="1815"/>
      <c r="H43" s="1812"/>
      <c r="I43" s="1604"/>
      <c r="J43" s="1604"/>
      <c r="K43" s="1182" t="str">
        <f t="shared" si="6"/>
        <v>Producto: Malanga colocasia</v>
      </c>
      <c r="L43" s="1030"/>
      <c r="M43" s="1031"/>
      <c r="N43" s="1031"/>
    </row>
    <row r="44" spans="1:14" ht="20.65" customHeight="1" thickBot="1" x14ac:dyDescent="0.25">
      <c r="A44" s="1804"/>
      <c r="B44" s="1806"/>
      <c r="C44" s="1819"/>
      <c r="D44" s="1816"/>
      <c r="E44" s="1828"/>
      <c r="F44" s="1819"/>
      <c r="G44" s="1816"/>
      <c r="H44" s="1813"/>
      <c r="I44" s="1604"/>
      <c r="J44" s="1604"/>
      <c r="K44" s="1182" t="str">
        <f t="shared" si="6"/>
        <v>Producto: Malanga colocasia</v>
      </c>
      <c r="L44" s="1030"/>
      <c r="M44" s="1031"/>
      <c r="N44" s="1031"/>
    </row>
    <row r="45" spans="1:14" ht="20.65" customHeight="1" x14ac:dyDescent="0.2">
      <c r="A45" s="983">
        <v>1</v>
      </c>
      <c r="B45" s="984">
        <v>2</v>
      </c>
      <c r="C45" s="1482"/>
      <c r="D45" s="984"/>
      <c r="E45" s="1469"/>
      <c r="F45" s="985">
        <v>3</v>
      </c>
      <c r="G45" s="985">
        <v>4</v>
      </c>
      <c r="H45" s="1212">
        <v>6</v>
      </c>
      <c r="I45" s="1605"/>
      <c r="J45" s="1605"/>
      <c r="K45" s="1182" t="str">
        <f t="shared" si="6"/>
        <v>Producto: Malanga colocasia</v>
      </c>
      <c r="L45" s="1014"/>
      <c r="M45" s="1032"/>
      <c r="N45" s="1032"/>
    </row>
    <row r="46" spans="1:14" s="785" customFormat="1" ht="20.65" customHeight="1" x14ac:dyDescent="0.2">
      <c r="A46" s="986" t="s">
        <v>295</v>
      </c>
      <c r="B46" s="993" t="s">
        <v>310</v>
      </c>
      <c r="C46" s="990">
        <v>90</v>
      </c>
      <c r="D46" s="819">
        <v>70</v>
      </c>
      <c r="E46" s="1474">
        <f>C46*D46</f>
        <v>6300</v>
      </c>
      <c r="F46" s="990">
        <v>41</v>
      </c>
      <c r="G46" s="819">
        <v>300</v>
      </c>
      <c r="H46" s="1213">
        <f t="shared" ref="H46:H57" si="7">F46*G46</f>
        <v>12300</v>
      </c>
      <c r="I46" s="1606">
        <f t="shared" ref="I46:I66" si="8">H46/H$66%</f>
        <v>45.17707208497697</v>
      </c>
      <c r="J46" s="1606"/>
      <c r="K46" s="1182" t="str">
        <f t="shared" si="6"/>
        <v>Producto: Malanga colocasia</v>
      </c>
      <c r="L46" s="1033"/>
      <c r="M46" s="1034"/>
      <c r="N46" s="1034"/>
    </row>
    <row r="47" spans="1:14" s="785" customFormat="1" ht="20.65" customHeight="1" x14ac:dyDescent="0.2">
      <c r="A47" s="986" t="s">
        <v>2071</v>
      </c>
      <c r="B47" s="993"/>
      <c r="C47" s="990"/>
      <c r="D47" s="819"/>
      <c r="E47" s="1474"/>
      <c r="F47" s="990"/>
      <c r="G47" s="819"/>
      <c r="H47" s="1213">
        <f>H52+H51+H50+H49+H48</f>
        <v>6208.1</v>
      </c>
      <c r="I47" s="1606"/>
      <c r="J47" s="1606"/>
      <c r="K47" s="1182"/>
      <c r="L47" s="1033"/>
      <c r="M47" s="1034"/>
      <c r="N47" s="1034"/>
    </row>
    <row r="48" spans="1:14" ht="20.65" customHeight="1" x14ac:dyDescent="0.2">
      <c r="A48" s="988" t="s">
        <v>2072</v>
      </c>
      <c r="B48" s="992" t="s">
        <v>292</v>
      </c>
      <c r="C48" s="1023">
        <v>1.4</v>
      </c>
      <c r="D48" s="820">
        <v>2000</v>
      </c>
      <c r="E48" s="1474">
        <f t="shared" ref="E48:E64" si="9">C48*D48</f>
        <v>2800</v>
      </c>
      <c r="F48" s="1023">
        <v>18</v>
      </c>
      <c r="G48" s="820">
        <v>8.4499999999999993</v>
      </c>
      <c r="H48" s="1213">
        <f t="shared" si="7"/>
        <v>152.1</v>
      </c>
      <c r="I48" s="1606">
        <f t="shared" si="8"/>
        <v>0.55865306212398347</v>
      </c>
      <c r="J48" s="1606"/>
      <c r="K48" s="1182" t="str">
        <f t="shared" si="6"/>
        <v>Producto: Malanga colocasia</v>
      </c>
      <c r="L48" s="1030"/>
      <c r="M48" s="1031"/>
      <c r="N48" s="1031"/>
    </row>
    <row r="49" spans="1:15" ht="20.65" customHeight="1" x14ac:dyDescent="0.2">
      <c r="A49" s="988" t="s">
        <v>2078</v>
      </c>
      <c r="B49" s="992" t="s">
        <v>638</v>
      </c>
      <c r="C49" s="1023"/>
      <c r="D49" s="820"/>
      <c r="E49" s="1474"/>
      <c r="F49" s="1023">
        <v>1</v>
      </c>
      <c r="G49" s="820">
        <v>12.26</v>
      </c>
      <c r="H49" s="1213">
        <f t="shared" si="7"/>
        <v>12.26</v>
      </c>
      <c r="I49" s="1606"/>
      <c r="J49" s="1606"/>
      <c r="K49" s="1182"/>
      <c r="L49" s="1030"/>
      <c r="M49" s="1031"/>
      <c r="N49" s="1031"/>
    </row>
    <row r="50" spans="1:15" ht="20.65" customHeight="1" x14ac:dyDescent="0.2">
      <c r="A50" s="988" t="s">
        <v>2073</v>
      </c>
      <c r="B50" s="992" t="s">
        <v>638</v>
      </c>
      <c r="C50" s="1023"/>
      <c r="D50" s="820"/>
      <c r="E50" s="1474"/>
      <c r="F50" s="1023">
        <v>6</v>
      </c>
      <c r="G50" s="820">
        <v>7.29</v>
      </c>
      <c r="H50" s="1213">
        <f t="shared" si="7"/>
        <v>43.74</v>
      </c>
      <c r="I50" s="1606"/>
      <c r="J50" s="1606"/>
      <c r="K50" s="1182"/>
      <c r="L50" s="1030"/>
      <c r="M50" s="1031"/>
      <c r="N50" s="1031"/>
    </row>
    <row r="51" spans="1:15" ht="20.65" customHeight="1" x14ac:dyDescent="0.2">
      <c r="A51" s="988" t="s">
        <v>2079</v>
      </c>
      <c r="B51" s="992" t="s">
        <v>437</v>
      </c>
      <c r="C51" s="1023"/>
      <c r="D51" s="820"/>
      <c r="E51" s="1474"/>
      <c r="F51" s="1023">
        <v>8</v>
      </c>
      <c r="G51" s="820">
        <v>450</v>
      </c>
      <c r="H51" s="1213">
        <f t="shared" si="7"/>
        <v>3600</v>
      </c>
      <c r="I51" s="1606"/>
      <c r="J51" s="1606"/>
      <c r="K51" s="1182"/>
      <c r="L51" s="1030"/>
      <c r="M51" s="1031"/>
      <c r="N51" s="1031"/>
    </row>
    <row r="52" spans="1:15" ht="20.65" customHeight="1" thickBot="1" x14ac:dyDescent="0.25">
      <c r="A52" s="986" t="s">
        <v>2075</v>
      </c>
      <c r="B52" s="992" t="s">
        <v>437</v>
      </c>
      <c r="C52" s="1487"/>
      <c r="D52" s="992"/>
      <c r="E52" s="1474">
        <f t="shared" si="9"/>
        <v>0</v>
      </c>
      <c r="F52" s="1023">
        <v>4</v>
      </c>
      <c r="G52" s="820">
        <v>600</v>
      </c>
      <c r="H52" s="1213">
        <f t="shared" si="7"/>
        <v>2400</v>
      </c>
      <c r="I52" s="1606">
        <f t="shared" si="8"/>
        <v>8.8150384556052632</v>
      </c>
      <c r="J52" s="1606"/>
      <c r="K52" s="1182" t="str">
        <f t="shared" si="6"/>
        <v>Producto: Malanga colocasia</v>
      </c>
      <c r="L52" s="1182">
        <f>B$41</f>
        <v>0</v>
      </c>
      <c r="M52" s="1182">
        <f>F$41</f>
        <v>0</v>
      </c>
      <c r="N52" s="1182">
        <f>G$41</f>
        <v>0</v>
      </c>
      <c r="O52" s="1182">
        <f>H$41</f>
        <v>0</v>
      </c>
    </row>
    <row r="53" spans="1:15" ht="20.65" customHeight="1" thickBot="1" x14ac:dyDescent="0.25">
      <c r="A53" s="1731" t="s">
        <v>1928</v>
      </c>
      <c r="B53" s="992" t="s">
        <v>2068</v>
      </c>
      <c r="C53" s="1023">
        <v>3</v>
      </c>
      <c r="D53" s="820">
        <v>43</v>
      </c>
      <c r="E53" s="1474">
        <f t="shared" si="9"/>
        <v>129</v>
      </c>
      <c r="F53" s="1023">
        <v>6</v>
      </c>
      <c r="G53" s="820">
        <v>32</v>
      </c>
      <c r="H53" s="1213">
        <f t="shared" si="7"/>
        <v>192</v>
      </c>
      <c r="I53" s="1606">
        <f t="shared" si="8"/>
        <v>0.70520307644842095</v>
      </c>
      <c r="J53" s="1606"/>
      <c r="K53" s="1182" t="str">
        <f t="shared" si="6"/>
        <v>Producto: Malanga colocasia</v>
      </c>
      <c r="L53" s="1182"/>
      <c r="M53" s="1182"/>
      <c r="N53" s="1182"/>
      <c r="O53" s="1182"/>
    </row>
    <row r="54" spans="1:15" ht="20.65" customHeight="1" thickBot="1" x14ac:dyDescent="0.25">
      <c r="A54" s="1725" t="s">
        <v>1931</v>
      </c>
      <c r="B54" s="992" t="s">
        <v>2060</v>
      </c>
      <c r="C54" s="1023">
        <v>4</v>
      </c>
      <c r="D54" s="820">
        <v>15</v>
      </c>
      <c r="E54" s="1474">
        <f t="shared" si="9"/>
        <v>60</v>
      </c>
      <c r="F54" s="1023">
        <v>6</v>
      </c>
      <c r="G54" s="820">
        <v>32</v>
      </c>
      <c r="H54" s="1213">
        <f t="shared" si="7"/>
        <v>192</v>
      </c>
      <c r="I54" s="1606">
        <f t="shared" si="8"/>
        <v>0.70520307644842095</v>
      </c>
      <c r="J54" s="1606"/>
      <c r="K54" s="1182" t="str">
        <f t="shared" si="6"/>
        <v>Producto: Malanga colocasia</v>
      </c>
      <c r="L54" s="1182"/>
      <c r="M54" s="1182"/>
      <c r="N54" s="1182"/>
      <c r="O54" s="1182"/>
    </row>
    <row r="55" spans="1:15" ht="20.65" customHeight="1" thickBot="1" x14ac:dyDescent="0.25">
      <c r="A55" s="1725" t="s">
        <v>1932</v>
      </c>
      <c r="B55" s="992" t="s">
        <v>2060</v>
      </c>
      <c r="C55" s="1023">
        <v>2</v>
      </c>
      <c r="D55" s="820">
        <v>39</v>
      </c>
      <c r="E55" s="1474">
        <f t="shared" si="9"/>
        <v>78</v>
      </c>
      <c r="F55" s="1023">
        <v>6</v>
      </c>
      <c r="G55" s="820">
        <v>32</v>
      </c>
      <c r="H55" s="1213">
        <f t="shared" si="7"/>
        <v>192</v>
      </c>
      <c r="I55" s="1606">
        <f t="shared" si="8"/>
        <v>0.70520307644842095</v>
      </c>
      <c r="J55" s="1606"/>
      <c r="K55" s="1182" t="str">
        <f t="shared" si="6"/>
        <v>Producto: Malanga colocasia</v>
      </c>
      <c r="L55" s="1182"/>
      <c r="M55" s="1182"/>
      <c r="N55" s="1182"/>
      <c r="O55" s="1182"/>
    </row>
    <row r="56" spans="1:15" ht="20.65" customHeight="1" thickBot="1" x14ac:dyDescent="0.25">
      <c r="A56" s="1725" t="s">
        <v>2066</v>
      </c>
      <c r="B56" s="992" t="s">
        <v>638</v>
      </c>
      <c r="C56" s="1023">
        <v>9</v>
      </c>
      <c r="D56" s="820">
        <v>8.9499999999999993</v>
      </c>
      <c r="E56" s="1474">
        <f t="shared" si="9"/>
        <v>80.55</v>
      </c>
      <c r="F56" s="1023">
        <v>6</v>
      </c>
      <c r="G56" s="820">
        <v>32</v>
      </c>
      <c r="H56" s="1213">
        <f t="shared" si="7"/>
        <v>192</v>
      </c>
      <c r="I56" s="1606">
        <f t="shared" si="8"/>
        <v>0.70520307644842095</v>
      </c>
      <c r="J56" s="1606"/>
      <c r="K56" s="1182" t="str">
        <f t="shared" si="6"/>
        <v>Producto: Malanga colocasia</v>
      </c>
      <c r="L56" s="1182"/>
      <c r="M56" s="1182"/>
      <c r="N56" s="1182"/>
      <c r="O56" s="1182"/>
    </row>
    <row r="57" spans="1:15" ht="20.65" customHeight="1" thickBot="1" x14ac:dyDescent="0.25">
      <c r="A57" s="1725" t="s">
        <v>2067</v>
      </c>
      <c r="B57" s="989" t="s">
        <v>2061</v>
      </c>
      <c r="C57" s="1483"/>
      <c r="D57" s="989"/>
      <c r="E57" s="1474">
        <f t="shared" si="9"/>
        <v>0</v>
      </c>
      <c r="F57" s="1023">
        <v>80</v>
      </c>
      <c r="G57" s="820">
        <v>12</v>
      </c>
      <c r="H57" s="1213">
        <f t="shared" si="7"/>
        <v>960</v>
      </c>
      <c r="I57" s="1606">
        <f t="shared" si="8"/>
        <v>3.5260153822421052</v>
      </c>
      <c r="J57" s="1606"/>
      <c r="K57" s="1182" t="str">
        <f t="shared" si="6"/>
        <v>Producto: Malanga colocasia</v>
      </c>
      <c r="L57" s="1182"/>
      <c r="M57" s="1182"/>
      <c r="N57" s="1182"/>
      <c r="O57" s="1182"/>
    </row>
    <row r="58" spans="1:15" ht="20.65" customHeight="1" x14ac:dyDescent="0.2">
      <c r="A58" s="986" t="s">
        <v>1877</v>
      </c>
      <c r="B58" s="992"/>
      <c r="C58" s="1487"/>
      <c r="D58" s="992"/>
      <c r="E58" s="1474">
        <f t="shared" si="9"/>
        <v>0</v>
      </c>
      <c r="F58" s="1023"/>
      <c r="G58" s="820"/>
      <c r="H58" s="1730">
        <f>H53+H54+H55+H56+H57</f>
        <v>1728</v>
      </c>
      <c r="I58" s="1606">
        <f t="shared" si="8"/>
        <v>6.3468276880357894</v>
      </c>
      <c r="J58" s="1606"/>
      <c r="K58" s="1182" t="str">
        <f t="shared" si="6"/>
        <v>Producto: Malanga colocasia</v>
      </c>
      <c r="L58" s="1182"/>
      <c r="M58" s="1182"/>
      <c r="N58" s="1182"/>
      <c r="O58" s="1182"/>
    </row>
    <row r="59" spans="1:15" s="785" customFormat="1" ht="20.65" customHeight="1" x14ac:dyDescent="0.2">
      <c r="A59" s="988" t="s">
        <v>983</v>
      </c>
      <c r="B59" s="989"/>
      <c r="C59" s="1483"/>
      <c r="D59" s="989"/>
      <c r="E59" s="1474">
        <f t="shared" si="9"/>
        <v>0</v>
      </c>
      <c r="F59" s="990">
        <v>260</v>
      </c>
      <c r="G59" s="1208">
        <v>30</v>
      </c>
      <c r="H59" s="1213">
        <f>F59*G59</f>
        <v>7800</v>
      </c>
      <c r="I59" s="1606">
        <f t="shared" si="8"/>
        <v>28.648874980717103</v>
      </c>
      <c r="J59" s="1606"/>
      <c r="K59" s="1182" t="str">
        <f t="shared" si="6"/>
        <v>Producto: Malanga colocasia</v>
      </c>
      <c r="L59" s="1033"/>
      <c r="M59" s="1034"/>
      <c r="N59" s="1034"/>
    </row>
    <row r="60" spans="1:15" s="184" customFormat="1" ht="20.65" customHeight="1" x14ac:dyDescent="0.25">
      <c r="A60" s="843" t="s">
        <v>1477</v>
      </c>
      <c r="B60" s="842"/>
      <c r="C60" s="1486"/>
      <c r="D60" s="842"/>
      <c r="E60" s="1471">
        <f>SUM(E46:E59)</f>
        <v>9447.5499999999993</v>
      </c>
      <c r="F60" s="1215"/>
      <c r="G60" s="1215"/>
      <c r="H60" s="1215">
        <f>H46+H58+H59</f>
        <v>21828</v>
      </c>
      <c r="I60" s="1606">
        <f t="shared" si="8"/>
        <v>80.172774753729868</v>
      </c>
      <c r="J60" s="1606"/>
      <c r="K60" s="1548" t="str">
        <f t="shared" si="6"/>
        <v>Producto: Malanga colocasia</v>
      </c>
      <c r="L60" s="1035"/>
      <c r="M60" s="1036"/>
      <c r="N60" s="1036"/>
    </row>
    <row r="61" spans="1:15" ht="20.65" customHeight="1" x14ac:dyDescent="0.2">
      <c r="A61" s="986" t="s">
        <v>933</v>
      </c>
      <c r="B61" s="992"/>
      <c r="C61" s="1487"/>
      <c r="D61" s="992"/>
      <c r="E61" s="1474">
        <f t="shared" si="9"/>
        <v>0</v>
      </c>
      <c r="F61" s="1023"/>
      <c r="G61" s="820"/>
      <c r="H61" s="1213"/>
      <c r="I61" s="1606">
        <f t="shared" si="8"/>
        <v>0</v>
      </c>
      <c r="J61" s="1606"/>
      <c r="K61" s="1182" t="str">
        <f t="shared" si="6"/>
        <v>Producto: Malanga colocasia</v>
      </c>
      <c r="L61" s="1030"/>
      <c r="M61" s="1031"/>
      <c r="N61" s="1031"/>
    </row>
    <row r="62" spans="1:15" ht="20.65" customHeight="1" x14ac:dyDescent="0.2">
      <c r="A62" s="986" t="s">
        <v>283</v>
      </c>
      <c r="B62" s="992" t="s">
        <v>934</v>
      </c>
      <c r="C62" s="1023">
        <v>16.8</v>
      </c>
      <c r="D62" s="820">
        <v>18</v>
      </c>
      <c r="E62" s="1474">
        <f t="shared" si="9"/>
        <v>302.40000000000003</v>
      </c>
      <c r="F62" s="1023">
        <v>3</v>
      </c>
      <c r="G62" s="820">
        <f>'Otros insumos'!C$19</f>
        <v>86.4</v>
      </c>
      <c r="H62" s="1213">
        <f>F62*G62</f>
        <v>259.20000000000005</v>
      </c>
      <c r="I62" s="1606">
        <f t="shared" si="8"/>
        <v>0.95202415320536848</v>
      </c>
      <c r="J62" s="1606"/>
      <c r="K62" s="1182" t="str">
        <f t="shared" si="6"/>
        <v>Producto: Malanga colocasia</v>
      </c>
      <c r="L62" s="1030"/>
      <c r="M62" s="1031" t="e">
        <f>#REF!</f>
        <v>#REF!</v>
      </c>
      <c r="N62" s="1031"/>
    </row>
    <row r="63" spans="1:15" s="1019" customFormat="1" ht="20.65" customHeight="1" x14ac:dyDescent="0.2">
      <c r="A63" s="1016" t="s">
        <v>234</v>
      </c>
      <c r="B63" s="1017" t="s">
        <v>638</v>
      </c>
      <c r="C63" s="1024">
        <v>284.57499999999999</v>
      </c>
      <c r="D63" s="1018">
        <v>2</v>
      </c>
      <c r="E63" s="1695">
        <f t="shared" si="9"/>
        <v>569.15</v>
      </c>
      <c r="F63" s="1024">
        <v>210</v>
      </c>
      <c r="G63" s="1018">
        <v>13.9</v>
      </c>
      <c r="H63" s="1216">
        <f>F63*G63</f>
        <v>2919</v>
      </c>
      <c r="I63" s="1693">
        <f t="shared" si="8"/>
        <v>10.7212905216299</v>
      </c>
      <c r="J63" s="1693"/>
      <c r="K63" s="1579" t="str">
        <f t="shared" si="6"/>
        <v>Producto: Malanga colocasia</v>
      </c>
      <c r="L63" s="1580">
        <v>24.75</v>
      </c>
      <c r="M63" s="1581">
        <f>F63*L63</f>
        <v>5197.5</v>
      </c>
      <c r="N63" s="1581"/>
    </row>
    <row r="64" spans="1:15" s="1019" customFormat="1" ht="20.65" customHeight="1" x14ac:dyDescent="0.2">
      <c r="A64" s="1694" t="s">
        <v>935</v>
      </c>
      <c r="B64" s="1017" t="s">
        <v>936</v>
      </c>
      <c r="C64" s="1024">
        <v>2544</v>
      </c>
      <c r="D64" s="1018">
        <v>0.17</v>
      </c>
      <c r="E64" s="1695">
        <f t="shared" si="9"/>
        <v>432.48</v>
      </c>
      <c r="F64" s="1024">
        <v>1200</v>
      </c>
      <c r="G64" s="1018">
        <f>'Otros insumos'!F32</f>
        <v>1.85</v>
      </c>
      <c r="H64" s="1216">
        <f>F64*G64</f>
        <v>2220</v>
      </c>
      <c r="I64" s="1693">
        <f t="shared" si="8"/>
        <v>8.1539105714348672</v>
      </c>
      <c r="J64" s="1693"/>
      <c r="K64" s="1579" t="str">
        <f t="shared" si="6"/>
        <v>Producto: Malanga colocasia</v>
      </c>
      <c r="L64" s="1580"/>
      <c r="M64" s="1581" t="e">
        <f>#REF!</f>
        <v>#REF!</v>
      </c>
      <c r="N64" s="1581"/>
    </row>
    <row r="65" spans="1:14" s="184" customFormat="1" ht="20.65" customHeight="1" x14ac:dyDescent="0.25">
      <c r="A65" s="844" t="s">
        <v>1476</v>
      </c>
      <c r="B65" s="842"/>
      <c r="C65" s="1486"/>
      <c r="D65" s="842"/>
      <c r="E65" s="1472">
        <f>E62+E63+E64</f>
        <v>1304.03</v>
      </c>
      <c r="F65" s="1217"/>
      <c r="G65" s="1217"/>
      <c r="H65" s="1217">
        <f>H62+H63+H64</f>
        <v>5398.2</v>
      </c>
      <c r="I65" s="1606">
        <f t="shared" si="8"/>
        <v>19.827225246270135</v>
      </c>
      <c r="J65" s="1606"/>
      <c r="K65" s="1548" t="str">
        <f t="shared" si="6"/>
        <v>Producto: Malanga colocasia</v>
      </c>
      <c r="L65" s="1035"/>
      <c r="M65" s="1036" t="e">
        <f>SUM(M62:M64)</f>
        <v>#REF!</v>
      </c>
      <c r="N65" s="1036"/>
    </row>
    <row r="66" spans="1:14" ht="20.65" customHeight="1" thickBot="1" x14ac:dyDescent="0.3">
      <c r="A66" s="1311" t="s">
        <v>962</v>
      </c>
      <c r="B66" s="1312"/>
      <c r="C66" s="1488"/>
      <c r="D66" s="1312"/>
      <c r="E66" s="1473">
        <f>E60+E65</f>
        <v>10751.58</v>
      </c>
      <c r="F66" s="1218">
        <f>F60+F65</f>
        <v>0</v>
      </c>
      <c r="G66" s="1218">
        <f>G60+G65</f>
        <v>0</v>
      </c>
      <c r="H66" s="1218">
        <f>H60+H65</f>
        <v>27226.2</v>
      </c>
      <c r="I66" s="1606">
        <f t="shared" si="8"/>
        <v>100</v>
      </c>
      <c r="J66" s="1606"/>
      <c r="K66" s="1182" t="str">
        <f t="shared" si="6"/>
        <v>Producto: Malanga colocasia</v>
      </c>
      <c r="L66" s="1030"/>
      <c r="M66" s="1031"/>
      <c r="N66" s="1031"/>
    </row>
    <row r="67" spans="1:14" ht="20.65" customHeight="1" x14ac:dyDescent="0.2">
      <c r="A67" s="1798" t="s">
        <v>232</v>
      </c>
      <c r="B67" s="1799"/>
      <c r="C67" s="1799"/>
      <c r="D67" s="1799"/>
      <c r="E67" s="1799"/>
      <c r="F67" s="1799"/>
      <c r="G67" s="1799"/>
      <c r="H67" s="1810" t="s">
        <v>230</v>
      </c>
      <c r="I67" s="1004"/>
      <c r="J67" s="1004"/>
      <c r="K67" s="1182" t="str">
        <f t="shared" si="6"/>
        <v>Producto: Malanga colocasia</v>
      </c>
      <c r="L67" s="1030"/>
      <c r="M67" s="1031"/>
      <c r="N67" s="1031"/>
    </row>
    <row r="68" spans="1:14" ht="20.65" customHeight="1" thickBot="1" x14ac:dyDescent="0.25">
      <c r="A68" s="1820"/>
      <c r="B68" s="1821"/>
      <c r="C68" s="1821"/>
      <c r="D68" s="1821"/>
      <c r="E68" s="1821"/>
      <c r="F68" s="1821"/>
      <c r="G68" s="1821"/>
      <c r="H68" s="1801"/>
      <c r="I68" s="1004"/>
      <c r="J68" s="1004"/>
      <c r="K68" s="1182" t="str">
        <f t="shared" si="6"/>
        <v>Producto: Malanga colocasia</v>
      </c>
      <c r="L68" s="1030"/>
      <c r="M68" s="1031"/>
      <c r="N68" s="1031"/>
    </row>
    <row r="69" spans="1:14" ht="20.65" customHeight="1" x14ac:dyDescent="0.2">
      <c r="A69" s="1798" t="s">
        <v>969</v>
      </c>
      <c r="B69" s="1799"/>
      <c r="C69" s="1799"/>
      <c r="D69" s="1799"/>
      <c r="E69" s="1799"/>
      <c r="F69" s="1799"/>
      <c r="G69" s="1799"/>
      <c r="H69" s="1800">
        <f ca="1">TODAY()</f>
        <v>45398</v>
      </c>
      <c r="I69" s="1609"/>
      <c r="J69" s="1609"/>
      <c r="K69" s="1182" t="str">
        <f t="shared" si="6"/>
        <v>Producto: Malanga colocasia</v>
      </c>
      <c r="L69" s="1030"/>
      <c r="M69" s="1031"/>
      <c r="N69" s="1031"/>
    </row>
    <row r="70" spans="1:14" ht="20.65" customHeight="1" thickBot="1" x14ac:dyDescent="0.25">
      <c r="A70" s="1822"/>
      <c r="B70" s="1823"/>
      <c r="C70" s="1823"/>
      <c r="D70" s="1823"/>
      <c r="E70" s="1823"/>
      <c r="F70" s="1823"/>
      <c r="G70" s="1823"/>
      <c r="H70" s="1801"/>
      <c r="I70" s="1004"/>
      <c r="J70" s="1004"/>
      <c r="K70" s="1182" t="str">
        <f t="shared" si="6"/>
        <v>Producto: Malanga colocasia</v>
      </c>
      <c r="L70" s="1030"/>
      <c r="M70" s="1031"/>
      <c r="N70" s="1031"/>
    </row>
    <row r="71" spans="1:14" s="845" customFormat="1" ht="20.65" customHeight="1" x14ac:dyDescent="0.25">
      <c r="A71" s="1807" t="s">
        <v>2093</v>
      </c>
      <c r="B71" s="1808"/>
      <c r="C71" s="1808"/>
      <c r="D71" s="1808"/>
      <c r="E71" s="1808"/>
      <c r="F71" s="1808"/>
      <c r="G71" s="1808"/>
      <c r="H71" s="1809"/>
      <c r="I71" s="1607"/>
      <c r="J71" s="1607"/>
      <c r="K71" s="1548" t="str">
        <f t="shared" ref="K71:K102" si="10">A$73</f>
        <v>Producto: Malanga xanthosoma</v>
      </c>
      <c r="L71" s="1189"/>
      <c r="M71" s="1190"/>
      <c r="N71" s="1029"/>
    </row>
    <row r="72" spans="1:14" s="845" customFormat="1" ht="20.65" customHeight="1" x14ac:dyDescent="0.25">
      <c r="A72" s="1824" t="s">
        <v>925</v>
      </c>
      <c r="B72" s="1825"/>
      <c r="C72" s="1825"/>
      <c r="D72" s="1825"/>
      <c r="E72" s="1825"/>
      <c r="F72" s="1825"/>
      <c r="G72" s="1825"/>
      <c r="H72" s="1826"/>
      <c r="I72" s="1599"/>
      <c r="J72" s="1599"/>
      <c r="K72" s="1548" t="str">
        <f t="shared" si="10"/>
        <v>Producto: Malanga xanthosoma</v>
      </c>
      <c r="L72" s="1189"/>
      <c r="M72" s="1190"/>
      <c r="N72" s="1029"/>
    </row>
    <row r="73" spans="1:14" ht="20.65" customHeight="1" thickBot="1" x14ac:dyDescent="0.25">
      <c r="A73" s="982" t="s">
        <v>1371</v>
      </c>
      <c r="B73" s="980"/>
      <c r="C73" s="1021"/>
      <c r="D73" s="980"/>
      <c r="E73" s="1468"/>
      <c r="F73" s="1021"/>
      <c r="G73" s="980"/>
      <c r="H73" s="1219"/>
      <c r="I73" s="1608"/>
      <c r="J73" s="1608"/>
      <c r="K73" s="1182" t="str">
        <f t="shared" si="10"/>
        <v>Producto: Malanga xanthosoma</v>
      </c>
      <c r="L73" s="1191"/>
      <c r="M73" s="1192"/>
      <c r="N73" s="1031"/>
    </row>
    <row r="74" spans="1:14" ht="20.65" customHeight="1" x14ac:dyDescent="0.2">
      <c r="A74" s="1802" t="s">
        <v>1378</v>
      </c>
      <c r="B74" s="1805" t="s">
        <v>226</v>
      </c>
      <c r="C74" s="1817" t="s">
        <v>1379</v>
      </c>
      <c r="D74" s="1814" t="s">
        <v>1963</v>
      </c>
      <c r="E74" s="1811" t="s">
        <v>1964</v>
      </c>
      <c r="F74" s="1817" t="s">
        <v>1962</v>
      </c>
      <c r="G74" s="1814" t="s">
        <v>1965</v>
      </c>
      <c r="H74" s="1811" t="s">
        <v>1966</v>
      </c>
      <c r="I74" s="1603"/>
      <c r="J74" s="1603"/>
      <c r="K74" s="1182" t="str">
        <f t="shared" si="10"/>
        <v>Producto: Malanga xanthosoma</v>
      </c>
      <c r="L74" s="1832">
        <f>'FICHA DE COSTO'!D81*1.2</f>
        <v>2103.9089455749772</v>
      </c>
      <c r="M74" s="1832"/>
      <c r="N74" s="1797"/>
    </row>
    <row r="75" spans="1:14" ht="20.65" customHeight="1" x14ac:dyDescent="0.2">
      <c r="A75" s="1803"/>
      <c r="B75" s="1751"/>
      <c r="C75" s="1818"/>
      <c r="D75" s="1815"/>
      <c r="E75" s="1827"/>
      <c r="F75" s="1818"/>
      <c r="G75" s="1815"/>
      <c r="H75" s="1812"/>
      <c r="I75" s="1604"/>
      <c r="J75" s="1604"/>
      <c r="K75" s="1182" t="str">
        <f t="shared" si="10"/>
        <v>Producto: Malanga xanthosoma</v>
      </c>
      <c r="L75" s="1191"/>
      <c r="M75" s="1192"/>
      <c r="N75" s="1031"/>
    </row>
    <row r="76" spans="1:14" ht="20.65" customHeight="1" thickBot="1" x14ac:dyDescent="0.25">
      <c r="A76" s="1804"/>
      <c r="B76" s="1806"/>
      <c r="C76" s="1819"/>
      <c r="D76" s="1816"/>
      <c r="E76" s="1828"/>
      <c r="F76" s="1819"/>
      <c r="G76" s="1816"/>
      <c r="H76" s="1813"/>
      <c r="I76" s="1604"/>
      <c r="J76" s="1604"/>
      <c r="K76" s="1182" t="str">
        <f t="shared" si="10"/>
        <v>Producto: Malanga xanthosoma</v>
      </c>
      <c r="L76" s="1191"/>
      <c r="M76" s="1192"/>
      <c r="N76" s="1031"/>
    </row>
    <row r="77" spans="1:14" ht="20.65" customHeight="1" x14ac:dyDescent="0.2">
      <c r="A77" s="983">
        <v>1</v>
      </c>
      <c r="B77" s="984">
        <v>2</v>
      </c>
      <c r="C77" s="1482"/>
      <c r="D77" s="984"/>
      <c r="E77" s="1469"/>
      <c r="F77" s="985">
        <v>3</v>
      </c>
      <c r="G77" s="985">
        <v>4</v>
      </c>
      <c r="H77" s="1212">
        <v>6</v>
      </c>
      <c r="I77" s="1605"/>
      <c r="J77" s="1605"/>
      <c r="K77" s="1182" t="str">
        <f t="shared" si="10"/>
        <v>Producto: Malanga xanthosoma</v>
      </c>
      <c r="L77" s="1182"/>
      <c r="M77" s="1193"/>
      <c r="N77" s="1032"/>
    </row>
    <row r="78" spans="1:14" s="785" customFormat="1" ht="20.65" customHeight="1" x14ac:dyDescent="0.2">
      <c r="A78" s="994" t="s">
        <v>295</v>
      </c>
      <c r="B78" s="993" t="s">
        <v>310</v>
      </c>
      <c r="C78" s="990">
        <v>90</v>
      </c>
      <c r="D78" s="990">
        <v>90</v>
      </c>
      <c r="E78" s="1474">
        <f>C78*D78</f>
        <v>8100</v>
      </c>
      <c r="F78" s="990">
        <v>41</v>
      </c>
      <c r="G78" s="819">
        <v>500</v>
      </c>
      <c r="H78" s="1213">
        <f t="shared" ref="H78:H89" si="11">F78*G78</f>
        <v>20500</v>
      </c>
      <c r="I78" s="1606">
        <f t="shared" ref="I78:I98" si="12">H78/H$98%</f>
        <v>112.99746444713924</v>
      </c>
      <c r="J78" s="1606"/>
      <c r="K78" s="1182" t="str">
        <f t="shared" si="10"/>
        <v>Producto: Malanga xanthosoma</v>
      </c>
      <c r="L78" s="1194"/>
      <c r="M78" s="1195"/>
      <c r="N78" s="1034"/>
    </row>
    <row r="79" spans="1:14" s="785" customFormat="1" ht="20.65" customHeight="1" x14ac:dyDescent="0.2">
      <c r="A79" s="994" t="s">
        <v>2071</v>
      </c>
      <c r="B79" s="993"/>
      <c r="C79" s="990"/>
      <c r="D79" s="990"/>
      <c r="E79" s="1474"/>
      <c r="F79" s="990"/>
      <c r="G79" s="819"/>
      <c r="H79" s="1213">
        <f>H84+H83+H82+H81+H80</f>
        <v>6208.1</v>
      </c>
      <c r="I79" s="1606"/>
      <c r="J79" s="1606"/>
      <c r="K79" s="1182"/>
      <c r="L79" s="1194"/>
      <c r="M79" s="1195"/>
      <c r="N79" s="1034"/>
    </row>
    <row r="80" spans="1:14" s="785" customFormat="1" ht="20.65" customHeight="1" x14ac:dyDescent="0.2">
      <c r="A80" s="988" t="s">
        <v>2072</v>
      </c>
      <c r="B80" s="992" t="s">
        <v>292</v>
      </c>
      <c r="C80" s="1023">
        <v>1.4</v>
      </c>
      <c r="D80" s="820">
        <v>2000</v>
      </c>
      <c r="E80" s="1474">
        <f t="shared" ref="E80" si="13">C80*D80</f>
        <v>2800</v>
      </c>
      <c r="F80" s="1023">
        <v>18</v>
      </c>
      <c r="G80" s="820">
        <v>8.4499999999999993</v>
      </c>
      <c r="H80" s="1213">
        <f t="shared" ref="H80:H84" si="14">F80*G80</f>
        <v>152.1</v>
      </c>
      <c r="I80" s="1606"/>
      <c r="J80" s="1606"/>
      <c r="K80" s="1182"/>
      <c r="L80" s="1194"/>
      <c r="M80" s="1195"/>
      <c r="N80" s="1034"/>
    </row>
    <row r="81" spans="1:14" s="785" customFormat="1" ht="20.65" customHeight="1" x14ac:dyDescent="0.2">
      <c r="A81" s="988" t="s">
        <v>2078</v>
      </c>
      <c r="B81" s="992" t="s">
        <v>638</v>
      </c>
      <c r="C81" s="1023"/>
      <c r="D81" s="820"/>
      <c r="E81" s="1474"/>
      <c r="F81" s="1023">
        <v>1</v>
      </c>
      <c r="G81" s="820">
        <v>12.26</v>
      </c>
      <c r="H81" s="1213">
        <f t="shared" si="14"/>
        <v>12.26</v>
      </c>
      <c r="I81" s="1606"/>
      <c r="J81" s="1606"/>
      <c r="K81" s="1182"/>
      <c r="L81" s="1194"/>
      <c r="M81" s="1195"/>
      <c r="N81" s="1034"/>
    </row>
    <row r="82" spans="1:14" s="785" customFormat="1" ht="20.65" customHeight="1" x14ac:dyDescent="0.2">
      <c r="A82" s="988" t="s">
        <v>2073</v>
      </c>
      <c r="B82" s="992" t="s">
        <v>638</v>
      </c>
      <c r="C82" s="1023"/>
      <c r="D82" s="820"/>
      <c r="E82" s="1474"/>
      <c r="F82" s="1023">
        <v>6</v>
      </c>
      <c r="G82" s="820">
        <v>7.29</v>
      </c>
      <c r="H82" s="1213">
        <f t="shared" si="14"/>
        <v>43.74</v>
      </c>
      <c r="I82" s="1606"/>
      <c r="J82" s="1606"/>
      <c r="K82" s="1182"/>
      <c r="L82" s="1194"/>
      <c r="M82" s="1195"/>
      <c r="N82" s="1034"/>
    </row>
    <row r="83" spans="1:14" ht="20.65" customHeight="1" x14ac:dyDescent="0.2">
      <c r="A83" s="988" t="s">
        <v>2079</v>
      </c>
      <c r="B83" s="992" t="s">
        <v>437</v>
      </c>
      <c r="C83" s="1023"/>
      <c r="D83" s="820"/>
      <c r="E83" s="1474"/>
      <c r="F83" s="1023">
        <v>8</v>
      </c>
      <c r="G83" s="820">
        <v>450</v>
      </c>
      <c r="H83" s="1213">
        <f t="shared" si="14"/>
        <v>3600</v>
      </c>
      <c r="I83" s="1606">
        <f t="shared" si="12"/>
        <v>19.843457171204939</v>
      </c>
      <c r="J83" s="1606"/>
      <c r="K83" s="1182" t="str">
        <f t="shared" si="10"/>
        <v>Producto: Malanga xanthosoma</v>
      </c>
      <c r="L83" s="1191"/>
      <c r="M83" s="1192"/>
      <c r="N83" s="1031"/>
    </row>
    <row r="84" spans="1:14" ht="20.65" customHeight="1" thickBot="1" x14ac:dyDescent="0.25">
      <c r="A84" s="986" t="s">
        <v>2075</v>
      </c>
      <c r="B84" s="992" t="s">
        <v>437</v>
      </c>
      <c r="C84" s="1487"/>
      <c r="D84" s="992"/>
      <c r="E84" s="1474">
        <f t="shared" ref="E84" si="15">C84*D84</f>
        <v>0</v>
      </c>
      <c r="F84" s="1023">
        <v>4</v>
      </c>
      <c r="G84" s="820">
        <v>600</v>
      </c>
      <c r="H84" s="1213">
        <f t="shared" si="14"/>
        <v>2400</v>
      </c>
      <c r="I84" s="1606">
        <f t="shared" si="12"/>
        <v>13.228971447469959</v>
      </c>
      <c r="J84" s="1606"/>
      <c r="K84" s="1182" t="str">
        <f t="shared" si="10"/>
        <v>Producto: Malanga xanthosoma</v>
      </c>
      <c r="L84" s="1191"/>
      <c r="M84" s="1192"/>
      <c r="N84" s="1031"/>
    </row>
    <row r="85" spans="1:14" ht="20.65" customHeight="1" thickBot="1" x14ac:dyDescent="0.25">
      <c r="A85" s="1731" t="s">
        <v>1928</v>
      </c>
      <c r="B85" s="992" t="s">
        <v>2068</v>
      </c>
      <c r="C85" s="1023">
        <v>3</v>
      </c>
      <c r="D85" s="820">
        <v>43</v>
      </c>
      <c r="E85" s="1474">
        <f t="shared" ref="E85:E96" si="16">C85*D85</f>
        <v>129</v>
      </c>
      <c r="F85" s="1023">
        <v>6</v>
      </c>
      <c r="G85" s="820">
        <v>32</v>
      </c>
      <c r="H85" s="1213">
        <f t="shared" si="11"/>
        <v>192</v>
      </c>
      <c r="I85" s="1606">
        <f t="shared" si="12"/>
        <v>1.0583177157975967</v>
      </c>
      <c r="J85" s="1606"/>
      <c r="K85" s="1182" t="str">
        <f t="shared" si="10"/>
        <v>Producto: Malanga xanthosoma</v>
      </c>
      <c r="L85" s="1191"/>
      <c r="M85" s="1192"/>
      <c r="N85" s="1031"/>
    </row>
    <row r="86" spans="1:14" ht="20.65" customHeight="1" thickBot="1" x14ac:dyDescent="0.25">
      <c r="A86" s="1725" t="s">
        <v>1931</v>
      </c>
      <c r="B86" s="992" t="s">
        <v>2060</v>
      </c>
      <c r="C86" s="1023">
        <v>4</v>
      </c>
      <c r="D86" s="820">
        <v>15</v>
      </c>
      <c r="E86" s="1474">
        <f t="shared" si="16"/>
        <v>60</v>
      </c>
      <c r="F86" s="1023">
        <v>6</v>
      </c>
      <c r="G86" s="820">
        <v>32</v>
      </c>
      <c r="H86" s="1213">
        <f t="shared" si="11"/>
        <v>192</v>
      </c>
      <c r="I86" s="1606">
        <f t="shared" si="12"/>
        <v>1.0583177157975967</v>
      </c>
      <c r="J86" s="1606"/>
      <c r="K86" s="1182" t="str">
        <f t="shared" si="10"/>
        <v>Producto: Malanga xanthosoma</v>
      </c>
      <c r="L86" s="1191"/>
      <c r="M86" s="1192"/>
      <c r="N86" s="1031"/>
    </row>
    <row r="87" spans="1:14" ht="20.65" customHeight="1" thickBot="1" x14ac:dyDescent="0.25">
      <c r="A87" s="1725" t="s">
        <v>1932</v>
      </c>
      <c r="B87" s="992" t="s">
        <v>2060</v>
      </c>
      <c r="C87" s="1023">
        <v>2</v>
      </c>
      <c r="D87" s="820">
        <v>39</v>
      </c>
      <c r="E87" s="1474">
        <f t="shared" si="16"/>
        <v>78</v>
      </c>
      <c r="F87" s="1023">
        <v>6</v>
      </c>
      <c r="G87" s="820">
        <v>32</v>
      </c>
      <c r="H87" s="1213">
        <f t="shared" si="11"/>
        <v>192</v>
      </c>
      <c r="I87" s="1606">
        <f t="shared" si="12"/>
        <v>1.0583177157975967</v>
      </c>
      <c r="J87" s="1606"/>
      <c r="K87" s="1182" t="str">
        <f t="shared" si="10"/>
        <v>Producto: Malanga xanthosoma</v>
      </c>
      <c r="L87" s="1191"/>
      <c r="M87" s="1192"/>
      <c r="N87" s="1031"/>
    </row>
    <row r="88" spans="1:14" ht="20.65" customHeight="1" thickBot="1" x14ac:dyDescent="0.25">
      <c r="A88" s="1725" t="s">
        <v>2066</v>
      </c>
      <c r="B88" s="992" t="s">
        <v>638</v>
      </c>
      <c r="C88" s="1023">
        <v>9</v>
      </c>
      <c r="D88" s="820">
        <v>8.9499999999999993</v>
      </c>
      <c r="E88" s="1474">
        <f t="shared" si="16"/>
        <v>80.55</v>
      </c>
      <c r="F88" s="1023">
        <v>6</v>
      </c>
      <c r="G88" s="820">
        <v>32</v>
      </c>
      <c r="H88" s="1213">
        <f t="shared" si="11"/>
        <v>192</v>
      </c>
      <c r="I88" s="1606">
        <f t="shared" si="12"/>
        <v>1.0583177157975967</v>
      </c>
      <c r="J88" s="1606"/>
      <c r="K88" s="1182" t="str">
        <f t="shared" si="10"/>
        <v>Producto: Malanga xanthosoma</v>
      </c>
      <c r="L88" s="1191"/>
      <c r="M88" s="1192"/>
      <c r="N88" s="1031"/>
    </row>
    <row r="89" spans="1:14" ht="20.65" customHeight="1" thickBot="1" x14ac:dyDescent="0.25">
      <c r="A89" s="1725" t="s">
        <v>2067</v>
      </c>
      <c r="B89" s="989" t="s">
        <v>2061</v>
      </c>
      <c r="C89" s="1483"/>
      <c r="D89" s="989"/>
      <c r="E89" s="1474">
        <f t="shared" si="16"/>
        <v>0</v>
      </c>
      <c r="F89" s="1023">
        <v>80</v>
      </c>
      <c r="G89" s="820">
        <v>12</v>
      </c>
      <c r="H89" s="1213">
        <f t="shared" si="11"/>
        <v>960</v>
      </c>
      <c r="I89" s="1606">
        <f t="shared" si="12"/>
        <v>5.2915885789879837</v>
      </c>
      <c r="J89" s="1606"/>
      <c r="K89" s="1182" t="str">
        <f t="shared" si="10"/>
        <v>Producto: Malanga xanthosoma</v>
      </c>
      <c r="L89" s="1191"/>
      <c r="M89" s="1192"/>
      <c r="N89" s="1031"/>
    </row>
    <row r="90" spans="1:14" ht="20.65" customHeight="1" x14ac:dyDescent="0.2">
      <c r="A90" s="986" t="s">
        <v>1877</v>
      </c>
      <c r="B90" s="992"/>
      <c r="C90" s="1487"/>
      <c r="D90" s="992"/>
      <c r="E90" s="1474">
        <f t="shared" si="16"/>
        <v>0</v>
      </c>
      <c r="F90" s="1023"/>
      <c r="G90" s="820"/>
      <c r="H90" s="1730">
        <f>H85+H86+H87+H88+H89</f>
        <v>1728</v>
      </c>
      <c r="I90" s="1606">
        <f t="shared" si="12"/>
        <v>9.5248594421783714</v>
      </c>
      <c r="J90" s="1606"/>
      <c r="K90" s="1182" t="str">
        <f t="shared" si="10"/>
        <v>Producto: Malanga xanthosoma</v>
      </c>
      <c r="L90" s="1191"/>
      <c r="M90" s="1192"/>
      <c r="N90" s="1031"/>
    </row>
    <row r="91" spans="1:14" ht="20.65" customHeight="1" x14ac:dyDescent="0.2">
      <c r="A91" s="988" t="s">
        <v>983</v>
      </c>
      <c r="B91" s="989"/>
      <c r="C91" s="1483"/>
      <c r="D91" s="989"/>
      <c r="E91" s="1474">
        <f t="shared" si="16"/>
        <v>0</v>
      </c>
      <c r="F91" s="990">
        <v>217</v>
      </c>
      <c r="G91" s="1208">
        <v>30</v>
      </c>
      <c r="H91" s="1213">
        <f>F91*G91</f>
        <v>6510</v>
      </c>
      <c r="I91" s="1606">
        <f t="shared" si="12"/>
        <v>35.883585051262266</v>
      </c>
      <c r="J91" s="1606"/>
      <c r="K91" s="1182" t="str">
        <f t="shared" si="10"/>
        <v>Producto: Malanga xanthosoma</v>
      </c>
      <c r="L91" s="1191"/>
      <c r="M91" s="1192"/>
      <c r="N91" s="1031"/>
    </row>
    <row r="92" spans="1:14" s="184" customFormat="1" ht="20.65" customHeight="1" x14ac:dyDescent="0.25">
      <c r="A92" s="843" t="s">
        <v>1477</v>
      </c>
      <c r="B92" s="842"/>
      <c r="C92" s="1486"/>
      <c r="D92" s="842"/>
      <c r="E92" s="1471">
        <f>SUM(E78:E91)</f>
        <v>11247.55</v>
      </c>
      <c r="F92" s="1215"/>
      <c r="G92" s="1215"/>
      <c r="H92" s="1215">
        <f>H90+H91</f>
        <v>8238</v>
      </c>
      <c r="I92" s="1606">
        <f t="shared" si="12"/>
        <v>45.408444493440641</v>
      </c>
      <c r="J92" s="1606"/>
      <c r="K92" s="1548" t="str">
        <f t="shared" si="10"/>
        <v>Producto: Malanga xanthosoma</v>
      </c>
      <c r="L92" s="1196"/>
      <c r="M92" s="1197"/>
      <c r="N92" s="1036"/>
    </row>
    <row r="93" spans="1:14" ht="20.65" customHeight="1" x14ac:dyDescent="0.2">
      <c r="A93" s="986" t="s">
        <v>933</v>
      </c>
      <c r="B93" s="992"/>
      <c r="C93" s="1487"/>
      <c r="D93" s="992"/>
      <c r="E93" s="1474">
        <f t="shared" si="16"/>
        <v>0</v>
      </c>
      <c r="F93" s="1023"/>
      <c r="G93" s="820"/>
      <c r="H93" s="1213"/>
      <c r="I93" s="1606">
        <f t="shared" si="12"/>
        <v>0</v>
      </c>
      <c r="J93" s="1606"/>
      <c r="K93" s="1182" t="str">
        <f t="shared" si="10"/>
        <v>Producto: Malanga xanthosoma</v>
      </c>
      <c r="L93" s="1191"/>
      <c r="M93" s="1192"/>
      <c r="N93" s="1031"/>
    </row>
    <row r="94" spans="1:14" ht="20.65" customHeight="1" x14ac:dyDescent="0.2">
      <c r="A94" s="986" t="s">
        <v>283</v>
      </c>
      <c r="B94" s="992" t="s">
        <v>934</v>
      </c>
      <c r="C94" s="1487">
        <v>13.3</v>
      </c>
      <c r="D94" s="820">
        <v>18</v>
      </c>
      <c r="E94" s="1474">
        <f t="shared" si="16"/>
        <v>239.4</v>
      </c>
      <c r="F94" s="1023">
        <v>15</v>
      </c>
      <c r="G94" s="820">
        <f>'Otros insumos'!C$19</f>
        <v>86.4</v>
      </c>
      <c r="H94" s="1213">
        <f>F94*G94</f>
        <v>1296</v>
      </c>
      <c r="I94" s="1606">
        <f t="shared" si="12"/>
        <v>7.1436445816337786</v>
      </c>
      <c r="J94" s="1606"/>
      <c r="K94" s="1182" t="str">
        <f t="shared" si="10"/>
        <v>Producto: Malanga xanthosoma</v>
      </c>
      <c r="L94" s="1191"/>
      <c r="M94" s="1192"/>
      <c r="N94" s="1031"/>
    </row>
    <row r="95" spans="1:14" s="1019" customFormat="1" ht="20.65" customHeight="1" x14ac:dyDescent="0.2">
      <c r="A95" s="1016" t="s">
        <v>234</v>
      </c>
      <c r="B95" s="1017" t="s">
        <v>638</v>
      </c>
      <c r="C95" s="1489">
        <v>246.52</v>
      </c>
      <c r="D95" s="1017">
        <v>2</v>
      </c>
      <c r="E95" s="1695">
        <f t="shared" si="16"/>
        <v>493.04</v>
      </c>
      <c r="F95" s="1024">
        <v>220</v>
      </c>
      <c r="G95" s="1018">
        <v>13.9</v>
      </c>
      <c r="H95" s="1216">
        <f>F95*G95</f>
        <v>3058</v>
      </c>
      <c r="I95" s="1693">
        <f t="shared" si="12"/>
        <v>16.855914452651309</v>
      </c>
      <c r="J95" s="1693"/>
      <c r="K95" s="1579" t="str">
        <f t="shared" si="10"/>
        <v>Producto: Malanga xanthosoma</v>
      </c>
      <c r="L95" s="1580"/>
      <c r="M95" s="1581"/>
      <c r="N95" s="1581"/>
    </row>
    <row r="96" spans="1:14" s="1019" customFormat="1" ht="20.65" customHeight="1" x14ac:dyDescent="0.2">
      <c r="A96" s="1694" t="s">
        <v>935</v>
      </c>
      <c r="B96" s="1017" t="s">
        <v>936</v>
      </c>
      <c r="C96" s="1489">
        <v>2014</v>
      </c>
      <c r="D96" s="1018">
        <v>0.17</v>
      </c>
      <c r="E96" s="1695">
        <f t="shared" si="16"/>
        <v>342.38000000000005</v>
      </c>
      <c r="F96" s="1024">
        <v>3000</v>
      </c>
      <c r="G96" s="1018">
        <f>'Otros insumos'!F32</f>
        <v>1.85</v>
      </c>
      <c r="H96" s="1216">
        <f>F96*G96</f>
        <v>5550</v>
      </c>
      <c r="I96" s="1693">
        <f t="shared" si="12"/>
        <v>30.591996472274282</v>
      </c>
      <c r="J96" s="1693"/>
      <c r="K96" s="1579" t="str">
        <f t="shared" si="10"/>
        <v>Producto: Malanga xanthosoma</v>
      </c>
      <c r="L96" s="1580"/>
      <c r="M96" s="1581"/>
      <c r="N96" s="1581"/>
    </row>
    <row r="97" spans="1:14" s="184" customFormat="1" ht="20.65" customHeight="1" x14ac:dyDescent="0.25">
      <c r="A97" s="844" t="s">
        <v>1476</v>
      </c>
      <c r="B97" s="842"/>
      <c r="C97" s="1486"/>
      <c r="D97" s="842"/>
      <c r="E97" s="1472">
        <f>E94+E95+E96</f>
        <v>1074.8200000000002</v>
      </c>
      <c r="F97" s="1217"/>
      <c r="G97" s="1217"/>
      <c r="H97" s="1217">
        <f>H94+H95+H96</f>
        <v>9904</v>
      </c>
      <c r="I97" s="1606">
        <f t="shared" si="12"/>
        <v>54.591555506559367</v>
      </c>
      <c r="J97" s="1606"/>
      <c r="K97" s="1548" t="str">
        <f t="shared" si="10"/>
        <v>Producto: Malanga xanthosoma</v>
      </c>
      <c r="L97" s="1196"/>
      <c r="M97" s="1197"/>
      <c r="N97" s="1036"/>
    </row>
    <row r="98" spans="1:14" ht="20.65" customHeight="1" thickBot="1" x14ac:dyDescent="0.3">
      <c r="A98" s="1311" t="s">
        <v>962</v>
      </c>
      <c r="B98" s="1312"/>
      <c r="C98" s="1488"/>
      <c r="D98" s="1312"/>
      <c r="E98" s="1473">
        <f>E92+E97</f>
        <v>12322.369999999999</v>
      </c>
      <c r="F98" s="1218">
        <f>F92+F97</f>
        <v>0</v>
      </c>
      <c r="G98" s="1218">
        <f>G92+G97</f>
        <v>0</v>
      </c>
      <c r="H98" s="1218">
        <f>H92+H97</f>
        <v>18142</v>
      </c>
      <c r="I98" s="1606">
        <f t="shared" si="12"/>
        <v>100</v>
      </c>
      <c r="J98" s="1606"/>
      <c r="K98" s="1182" t="str">
        <f t="shared" si="10"/>
        <v>Producto: Malanga xanthosoma</v>
      </c>
      <c r="L98" s="1191"/>
      <c r="M98" s="1192"/>
      <c r="N98" s="1031"/>
    </row>
    <row r="99" spans="1:14" ht="20.65" customHeight="1" x14ac:dyDescent="0.2">
      <c r="A99" s="1798" t="s">
        <v>232</v>
      </c>
      <c r="B99" s="1799"/>
      <c r="C99" s="1799"/>
      <c r="D99" s="1799"/>
      <c r="E99" s="1799"/>
      <c r="F99" s="1799"/>
      <c r="G99" s="1799"/>
      <c r="H99" s="1810" t="s">
        <v>230</v>
      </c>
      <c r="I99" s="1004"/>
      <c r="J99" s="1004"/>
      <c r="K99" s="1182" t="str">
        <f t="shared" si="10"/>
        <v>Producto: Malanga xanthosoma</v>
      </c>
      <c r="L99" s="1191"/>
      <c r="M99" s="1192"/>
      <c r="N99" s="1031"/>
    </row>
    <row r="100" spans="1:14" ht="20.65" customHeight="1" thickBot="1" x14ac:dyDescent="0.25">
      <c r="A100" s="1820"/>
      <c r="B100" s="1821"/>
      <c r="C100" s="1821"/>
      <c r="D100" s="1821"/>
      <c r="E100" s="1821"/>
      <c r="F100" s="1821"/>
      <c r="G100" s="1821"/>
      <c r="H100" s="1801"/>
      <c r="I100" s="1004"/>
      <c r="J100" s="1004"/>
      <c r="K100" s="1182" t="str">
        <f t="shared" si="10"/>
        <v>Producto: Malanga xanthosoma</v>
      </c>
      <c r="L100" s="1191"/>
      <c r="M100" s="1192"/>
      <c r="N100" s="1031"/>
    </row>
    <row r="101" spans="1:14" ht="20.65" customHeight="1" x14ac:dyDescent="0.2">
      <c r="A101" s="1798" t="s">
        <v>969</v>
      </c>
      <c r="B101" s="1799"/>
      <c r="C101" s="1799"/>
      <c r="D101" s="1799"/>
      <c r="E101" s="1799"/>
      <c r="F101" s="1799"/>
      <c r="G101" s="1799"/>
      <c r="H101" s="1800">
        <f ca="1">TODAY()</f>
        <v>45398</v>
      </c>
      <c r="I101" s="1609"/>
      <c r="J101" s="1609"/>
      <c r="K101" s="1182" t="str">
        <f t="shared" si="10"/>
        <v>Producto: Malanga xanthosoma</v>
      </c>
      <c r="L101" s="1191"/>
      <c r="M101" s="1192"/>
      <c r="N101" s="1031"/>
    </row>
    <row r="102" spans="1:14" ht="20.65" customHeight="1" thickBot="1" x14ac:dyDescent="0.25">
      <c r="A102" s="1822"/>
      <c r="B102" s="1823"/>
      <c r="C102" s="1823"/>
      <c r="D102" s="1823"/>
      <c r="E102" s="1823"/>
      <c r="F102" s="1823"/>
      <c r="G102" s="1823"/>
      <c r="H102" s="1801"/>
      <c r="I102" s="1004"/>
      <c r="J102" s="1004"/>
      <c r="K102" s="1182" t="str">
        <f t="shared" si="10"/>
        <v>Producto: Malanga xanthosoma</v>
      </c>
      <c r="L102" s="1191"/>
      <c r="M102" s="1192"/>
      <c r="N102" s="1031"/>
    </row>
    <row r="103" spans="1:14" s="845" customFormat="1" ht="20.65" customHeight="1" x14ac:dyDescent="0.25">
      <c r="A103" s="1807" t="s">
        <v>2093</v>
      </c>
      <c r="B103" s="1808"/>
      <c r="C103" s="1808"/>
      <c r="D103" s="1808"/>
      <c r="E103" s="1808"/>
      <c r="F103" s="1808"/>
      <c r="G103" s="1808"/>
      <c r="H103" s="1809"/>
      <c r="I103" s="1607"/>
      <c r="J103" s="1607"/>
      <c r="K103" s="1548" t="str">
        <f t="shared" ref="K103:K133" si="17">A$105</f>
        <v>Producto Plátano burro</v>
      </c>
      <c r="L103" s="1028"/>
      <c r="M103" s="1029"/>
      <c r="N103" s="1029"/>
    </row>
    <row r="104" spans="1:14" s="845" customFormat="1" ht="20.65" customHeight="1" x14ac:dyDescent="0.25">
      <c r="A104" s="1824" t="s">
        <v>925</v>
      </c>
      <c r="B104" s="1825"/>
      <c r="C104" s="1825"/>
      <c r="D104" s="1825"/>
      <c r="E104" s="1825"/>
      <c r="F104" s="1825"/>
      <c r="G104" s="1825"/>
      <c r="H104" s="1826"/>
      <c r="I104" s="1599"/>
      <c r="J104" s="1599"/>
      <c r="K104" s="1548" t="str">
        <f t="shared" si="17"/>
        <v>Producto Plátano burro</v>
      </c>
      <c r="L104" s="1028"/>
      <c r="M104" s="1029"/>
      <c r="N104" s="1029"/>
    </row>
    <row r="105" spans="1:14" ht="20.65" customHeight="1" thickBot="1" x14ac:dyDescent="0.25">
      <c r="A105" s="982" t="s">
        <v>1377</v>
      </c>
      <c r="B105" s="980"/>
      <c r="C105" s="1021"/>
      <c r="D105" s="980"/>
      <c r="E105" s="1468"/>
      <c r="F105" s="1021"/>
      <c r="G105" s="980"/>
      <c r="H105" s="1219"/>
      <c r="I105" s="1608"/>
      <c r="J105" s="1608"/>
      <c r="K105" s="1182" t="str">
        <f t="shared" si="17"/>
        <v>Producto Plátano burro</v>
      </c>
      <c r="L105" s="1030"/>
      <c r="M105" s="1031"/>
      <c r="N105" s="1031"/>
    </row>
    <row r="106" spans="1:14" ht="20.65" customHeight="1" x14ac:dyDescent="0.2">
      <c r="A106" s="1802" t="s">
        <v>1378</v>
      </c>
      <c r="B106" s="1805" t="s">
        <v>226</v>
      </c>
      <c r="C106" s="1817" t="s">
        <v>1379</v>
      </c>
      <c r="D106" s="1814" t="s">
        <v>1963</v>
      </c>
      <c r="E106" s="1811" t="s">
        <v>1964</v>
      </c>
      <c r="F106" s="1817" t="s">
        <v>1962</v>
      </c>
      <c r="G106" s="1814" t="s">
        <v>1965</v>
      </c>
      <c r="H106" s="1811" t="s">
        <v>1966</v>
      </c>
      <c r="I106" s="1603"/>
      <c r="J106" s="1603"/>
      <c r="K106" s="1182" t="str">
        <f t="shared" si="17"/>
        <v>Producto Plátano burro</v>
      </c>
      <c r="L106" s="1797" t="e">
        <f>#REF!/21.74</f>
        <v>#REF!</v>
      </c>
      <c r="M106" s="1797"/>
      <c r="N106" s="1797"/>
    </row>
    <row r="107" spans="1:14" ht="20.65" customHeight="1" x14ac:dyDescent="0.2">
      <c r="A107" s="1803"/>
      <c r="B107" s="1751"/>
      <c r="C107" s="1818"/>
      <c r="D107" s="1815"/>
      <c r="E107" s="1827"/>
      <c r="F107" s="1818"/>
      <c r="G107" s="1815"/>
      <c r="H107" s="1812"/>
      <c r="I107" s="1604"/>
      <c r="J107" s="1604"/>
      <c r="K107" s="1182" t="str">
        <f t="shared" si="17"/>
        <v>Producto Plátano burro</v>
      </c>
      <c r="L107" s="1030"/>
      <c r="M107" s="1031"/>
      <c r="N107" s="1031"/>
    </row>
    <row r="108" spans="1:14" ht="20.65" customHeight="1" thickBot="1" x14ac:dyDescent="0.25">
      <c r="A108" s="1804"/>
      <c r="B108" s="1806"/>
      <c r="C108" s="1819"/>
      <c r="D108" s="1816"/>
      <c r="E108" s="1828"/>
      <c r="F108" s="1819"/>
      <c r="G108" s="1816"/>
      <c r="H108" s="1813"/>
      <c r="I108" s="1604"/>
      <c r="J108" s="1604"/>
      <c r="K108" s="1182" t="str">
        <f t="shared" si="17"/>
        <v>Producto Plátano burro</v>
      </c>
      <c r="L108" s="1030"/>
      <c r="M108" s="1031"/>
      <c r="N108" s="1031"/>
    </row>
    <row r="109" spans="1:14" ht="20.65" customHeight="1" x14ac:dyDescent="0.2">
      <c r="A109" s="983">
        <v>1</v>
      </c>
      <c r="B109" s="984">
        <v>2</v>
      </c>
      <c r="C109" s="1482"/>
      <c r="D109" s="984"/>
      <c r="E109" s="1469"/>
      <c r="F109" s="985">
        <v>3</v>
      </c>
      <c r="G109" s="985">
        <v>4</v>
      </c>
      <c r="H109" s="1212">
        <v>6</v>
      </c>
      <c r="I109" s="1605"/>
      <c r="J109" s="1605"/>
      <c r="K109" s="1182" t="str">
        <f t="shared" si="17"/>
        <v>Producto Plátano burro</v>
      </c>
      <c r="L109" s="1014"/>
      <c r="M109" s="1032"/>
      <c r="N109" s="1032"/>
    </row>
    <row r="110" spans="1:14" ht="20.65" customHeight="1" x14ac:dyDescent="0.2">
      <c r="A110" s="1464" t="s">
        <v>295</v>
      </c>
      <c r="B110" s="1461" t="s">
        <v>949</v>
      </c>
      <c r="C110" s="1465">
        <v>2200</v>
      </c>
      <c r="D110" s="818">
        <v>1.2</v>
      </c>
      <c r="E110" s="1475">
        <f>C110*D110</f>
        <v>2640</v>
      </c>
      <c r="F110" s="1462"/>
      <c r="G110" s="1462"/>
      <c r="H110" s="1463"/>
      <c r="I110" s="1605">
        <f>H110/H$129%</f>
        <v>0</v>
      </c>
      <c r="J110" s="1605"/>
      <c r="K110" s="1182" t="str">
        <f t="shared" si="17"/>
        <v>Producto Plátano burro</v>
      </c>
      <c r="L110" s="1014"/>
      <c r="M110" s="1032"/>
      <c r="N110" s="1032"/>
    </row>
    <row r="111" spans="1:14" ht="20.65" customHeight="1" x14ac:dyDescent="0.2">
      <c r="A111" s="994" t="s">
        <v>2071</v>
      </c>
      <c r="B111" s="992" t="s">
        <v>437</v>
      </c>
      <c r="C111" s="1023">
        <v>0.71</v>
      </c>
      <c r="D111" s="820">
        <v>1500</v>
      </c>
      <c r="E111" s="1475">
        <f t="shared" ref="E111:E127" si="18">C111*D111</f>
        <v>1065</v>
      </c>
      <c r="F111" s="1023"/>
      <c r="G111" s="820"/>
      <c r="H111" s="1213">
        <f>H112+H113</f>
        <v>11614.16</v>
      </c>
      <c r="I111" s="1605">
        <f t="shared" ref="I111:I129" si="19">H111/H$129%</f>
        <v>33.175579636290507</v>
      </c>
      <c r="J111" s="1605"/>
      <c r="K111" s="1182" t="str">
        <f t="shared" si="17"/>
        <v>Producto Plátano burro</v>
      </c>
      <c r="L111" s="1030"/>
      <c r="M111" s="1031"/>
      <c r="N111" s="1031"/>
    </row>
    <row r="112" spans="1:14" ht="20.65" customHeight="1" x14ac:dyDescent="0.2">
      <c r="A112" s="994" t="s">
        <v>2079</v>
      </c>
      <c r="B112" s="992" t="s">
        <v>437</v>
      </c>
      <c r="C112" s="1487"/>
      <c r="D112" s="992"/>
      <c r="E112" s="1475">
        <f t="shared" si="18"/>
        <v>0</v>
      </c>
      <c r="F112" s="1023">
        <v>8</v>
      </c>
      <c r="G112" s="820">
        <v>653</v>
      </c>
      <c r="H112" s="1213">
        <f t="shared" ref="H112:H120" si="20">F112*G112</f>
        <v>5224</v>
      </c>
      <c r="I112" s="1605">
        <f t="shared" si="19"/>
        <v>14.922235273147745</v>
      </c>
      <c r="J112" s="1605"/>
      <c r="K112" s="1182" t="str">
        <f t="shared" si="17"/>
        <v>Producto Plátano burro</v>
      </c>
      <c r="L112" s="1030"/>
      <c r="M112" s="1031"/>
      <c r="N112" s="1031"/>
    </row>
    <row r="113" spans="1:37" ht="20.65" customHeight="1" x14ac:dyDescent="0.2">
      <c r="A113" s="1020" t="s">
        <v>2075</v>
      </c>
      <c r="B113" s="1017" t="s">
        <v>437</v>
      </c>
      <c r="C113" s="1024">
        <v>1</v>
      </c>
      <c r="D113" s="1018">
        <v>1500</v>
      </c>
      <c r="E113" s="1475">
        <f t="shared" si="18"/>
        <v>1500</v>
      </c>
      <c r="F113" s="1023">
        <v>4</v>
      </c>
      <c r="G113" s="820">
        <v>1597.54</v>
      </c>
      <c r="H113" s="1213">
        <f t="shared" si="20"/>
        <v>6390.16</v>
      </c>
      <c r="I113" s="1605">
        <f t="shared" si="19"/>
        <v>18.253344363142762</v>
      </c>
      <c r="J113" s="1605"/>
      <c r="K113" s="1182" t="str">
        <f t="shared" si="17"/>
        <v>Producto Plátano burro</v>
      </c>
      <c r="L113" s="1030"/>
      <c r="M113" s="1031"/>
      <c r="N113" s="1031"/>
    </row>
    <row r="114" spans="1:37" ht="20.65" customHeight="1" thickBot="1" x14ac:dyDescent="0.25">
      <c r="A114" s="1020" t="s">
        <v>2085</v>
      </c>
      <c r="B114" s="1017" t="s">
        <v>2086</v>
      </c>
      <c r="C114" s="1024"/>
      <c r="D114" s="1018"/>
      <c r="E114" s="1475"/>
      <c r="F114" s="1023">
        <v>10</v>
      </c>
      <c r="G114" s="820">
        <v>422.42</v>
      </c>
      <c r="H114" s="1213">
        <f t="shared" si="20"/>
        <v>4224.2</v>
      </c>
      <c r="I114" s="1605">
        <f t="shared" si="19"/>
        <v>12.066329678566367</v>
      </c>
      <c r="J114" s="1605"/>
      <c r="K114" s="1182" t="str">
        <f t="shared" si="17"/>
        <v>Producto Plátano burro</v>
      </c>
      <c r="L114" s="1030"/>
      <c r="M114" s="1031"/>
      <c r="N114" s="1031"/>
    </row>
    <row r="115" spans="1:37" ht="20.65" customHeight="1" thickBot="1" x14ac:dyDescent="0.25">
      <c r="A115" s="1731" t="s">
        <v>1928</v>
      </c>
      <c r="B115" s="992" t="s">
        <v>2060</v>
      </c>
      <c r="C115" s="1023">
        <v>4</v>
      </c>
      <c r="D115" s="820">
        <v>30</v>
      </c>
      <c r="E115" s="1475">
        <f t="shared" si="18"/>
        <v>120</v>
      </c>
      <c r="F115" s="1023">
        <v>6</v>
      </c>
      <c r="G115" s="820">
        <v>32</v>
      </c>
      <c r="H115" s="1213">
        <f t="shared" si="20"/>
        <v>192</v>
      </c>
      <c r="I115" s="1605">
        <f t="shared" si="19"/>
        <v>0.54844356287219886</v>
      </c>
      <c r="J115" s="1605"/>
      <c r="K115" s="1182" t="str">
        <f t="shared" si="17"/>
        <v>Producto Plátano burro</v>
      </c>
      <c r="L115" s="1030"/>
      <c r="M115" s="1031"/>
      <c r="N115" s="1031"/>
    </row>
    <row r="116" spans="1:37" ht="20.65" customHeight="1" thickBot="1" x14ac:dyDescent="0.25">
      <c r="A116" s="1725" t="s">
        <v>1959</v>
      </c>
      <c r="B116" s="992" t="s">
        <v>638</v>
      </c>
      <c r="C116" s="1023">
        <v>8</v>
      </c>
      <c r="D116" s="820">
        <v>30</v>
      </c>
      <c r="E116" s="1475">
        <f t="shared" si="18"/>
        <v>240</v>
      </c>
      <c r="F116" s="1023">
        <v>8</v>
      </c>
      <c r="G116" s="820">
        <v>32</v>
      </c>
      <c r="H116" s="1213">
        <f t="shared" si="20"/>
        <v>256</v>
      </c>
      <c r="I116" s="1605">
        <f t="shared" si="19"/>
        <v>0.73125808382959856</v>
      </c>
      <c r="J116" s="1605"/>
      <c r="K116" s="1182" t="str">
        <f t="shared" si="17"/>
        <v>Producto Plátano burro</v>
      </c>
      <c r="L116" s="1030"/>
      <c r="M116" s="1031"/>
      <c r="N116" s="1031"/>
    </row>
    <row r="117" spans="1:37" ht="20.65" customHeight="1" thickBot="1" x14ac:dyDescent="0.25">
      <c r="A117" s="1725" t="s">
        <v>1931</v>
      </c>
      <c r="B117" s="992" t="s">
        <v>638</v>
      </c>
      <c r="C117" s="1023">
        <v>2.5</v>
      </c>
      <c r="D117" s="820">
        <v>10</v>
      </c>
      <c r="E117" s="1475">
        <f t="shared" si="18"/>
        <v>25</v>
      </c>
      <c r="F117" s="1023">
        <v>6</v>
      </c>
      <c r="G117" s="820">
        <v>32</v>
      </c>
      <c r="H117" s="1213">
        <f t="shared" si="20"/>
        <v>192</v>
      </c>
      <c r="I117" s="1605">
        <f t="shared" si="19"/>
        <v>0.54844356287219886</v>
      </c>
      <c r="J117" s="1605"/>
      <c r="K117" s="1182" t="str">
        <f t="shared" si="17"/>
        <v>Producto Plátano burro</v>
      </c>
      <c r="L117" s="1030"/>
      <c r="M117" s="1031"/>
      <c r="N117" s="1031"/>
    </row>
    <row r="118" spans="1:37" ht="20.65" customHeight="1" thickBot="1" x14ac:dyDescent="0.25">
      <c r="A118" s="1725" t="s">
        <v>2066</v>
      </c>
      <c r="B118" s="992" t="s">
        <v>638</v>
      </c>
      <c r="C118" s="1023">
        <v>8</v>
      </c>
      <c r="D118" s="820">
        <v>15</v>
      </c>
      <c r="E118" s="1475">
        <f t="shared" si="18"/>
        <v>120</v>
      </c>
      <c r="F118" s="1023">
        <v>6</v>
      </c>
      <c r="G118" s="820">
        <v>32</v>
      </c>
      <c r="H118" s="1213">
        <f t="shared" si="20"/>
        <v>192</v>
      </c>
      <c r="I118" s="1605">
        <f t="shared" si="19"/>
        <v>0.54844356287219886</v>
      </c>
      <c r="J118" s="1605"/>
      <c r="K118" s="1182" t="str">
        <f t="shared" si="17"/>
        <v>Producto Plátano burro</v>
      </c>
      <c r="L118" s="1030"/>
      <c r="M118" s="1031"/>
      <c r="N118" s="1031"/>
    </row>
    <row r="119" spans="1:37" s="1671" customFormat="1" ht="20.65" customHeight="1" thickBot="1" x14ac:dyDescent="0.25">
      <c r="A119" s="1725" t="s">
        <v>2066</v>
      </c>
      <c r="B119" s="1732" t="s">
        <v>638</v>
      </c>
      <c r="C119" s="1733"/>
      <c r="D119" s="1732"/>
      <c r="E119" s="1475">
        <f t="shared" si="18"/>
        <v>0</v>
      </c>
      <c r="F119" s="1479">
        <v>6</v>
      </c>
      <c r="G119" s="1734">
        <v>32</v>
      </c>
      <c r="H119" s="1213">
        <f t="shared" si="20"/>
        <v>192</v>
      </c>
      <c r="I119" s="1735">
        <f t="shared" si="19"/>
        <v>0.54844356287219886</v>
      </c>
      <c r="J119" s="1735"/>
      <c r="K119" s="1736" t="str">
        <f t="shared" si="17"/>
        <v>Producto Plátano burro</v>
      </c>
      <c r="L119" s="1737"/>
      <c r="M119" s="1738"/>
      <c r="N119" s="1738"/>
      <c r="O119" s="1098"/>
      <c r="P119" s="1098"/>
      <c r="Q119" s="1098"/>
      <c r="R119" s="1098"/>
      <c r="S119" s="1098"/>
      <c r="T119" s="1098"/>
      <c r="U119" s="1098"/>
      <c r="V119" s="1098"/>
      <c r="W119" s="1098"/>
      <c r="X119" s="1098"/>
      <c r="Y119" s="1098"/>
      <c r="Z119" s="1098"/>
      <c r="AA119" s="1098"/>
      <c r="AB119" s="1098"/>
      <c r="AC119" s="1098"/>
      <c r="AD119" s="1098"/>
      <c r="AE119" s="1098"/>
      <c r="AF119" s="1098"/>
      <c r="AG119" s="1098"/>
      <c r="AH119" s="1098"/>
      <c r="AI119" s="1098"/>
      <c r="AJ119" s="1098"/>
      <c r="AK119" s="1098"/>
    </row>
    <row r="120" spans="1:37" ht="20.65" customHeight="1" thickBot="1" x14ac:dyDescent="0.25">
      <c r="A120" s="1725" t="s">
        <v>2069</v>
      </c>
      <c r="B120" s="989" t="s">
        <v>2061</v>
      </c>
      <c r="C120" s="1483"/>
      <c r="D120" s="989"/>
      <c r="E120" s="1475">
        <f t="shared" si="18"/>
        <v>0</v>
      </c>
      <c r="F120" s="1023">
        <v>6</v>
      </c>
      <c r="G120" s="990">
        <v>12</v>
      </c>
      <c r="H120" s="1213">
        <f t="shared" si="20"/>
        <v>72</v>
      </c>
      <c r="I120" s="1605">
        <f t="shared" si="19"/>
        <v>0.20566633607707457</v>
      </c>
      <c r="J120" s="1605"/>
      <c r="K120" s="1182" t="str">
        <f t="shared" si="17"/>
        <v>Producto Plátano burro</v>
      </c>
      <c r="L120" s="1030"/>
      <c r="M120" s="1031"/>
      <c r="N120" s="1031"/>
    </row>
    <row r="121" spans="1:37" ht="20.65" customHeight="1" x14ac:dyDescent="0.2">
      <c r="A121" s="986" t="s">
        <v>1877</v>
      </c>
      <c r="B121" s="1241"/>
      <c r="C121" s="1242"/>
      <c r="D121" s="1241"/>
      <c r="E121" s="1475">
        <f>C121*D121</f>
        <v>0</v>
      </c>
      <c r="F121" s="1242"/>
      <c r="G121" s="1243"/>
      <c r="H121" s="1739">
        <f>H115+H116+H117+H118+H119+H120</f>
        <v>1096</v>
      </c>
      <c r="I121" s="1605" t="e">
        <f>#REF!/H$129%</f>
        <v>#REF!</v>
      </c>
      <c r="J121" s="1605"/>
      <c r="K121" s="1182" t="str">
        <f t="shared" si="17"/>
        <v>Producto Plátano burro</v>
      </c>
    </row>
    <row r="122" spans="1:37" ht="20.65" customHeight="1" x14ac:dyDescent="0.25">
      <c r="H122" s="1097"/>
      <c r="I122" s="1605">
        <f>H121/H$129%</f>
        <v>3.1306986713954688</v>
      </c>
      <c r="J122" s="1605"/>
      <c r="K122" s="1182" t="str">
        <f t="shared" si="17"/>
        <v>Producto Plátano burro</v>
      </c>
    </row>
    <row r="123" spans="1:37" s="184" customFormat="1" ht="20.65" customHeight="1" x14ac:dyDescent="0.25">
      <c r="A123" s="843" t="s">
        <v>1477</v>
      </c>
      <c r="B123" s="842"/>
      <c r="C123" s="1486"/>
      <c r="D123" s="842"/>
      <c r="E123" s="1471">
        <f>SUM(E111:E121)</f>
        <v>3070</v>
      </c>
      <c r="F123" s="1215"/>
      <c r="G123" s="1215"/>
      <c r="H123" s="1215">
        <f>H111+H121</f>
        <v>12710.16</v>
      </c>
      <c r="I123" s="1605">
        <f t="shared" si="19"/>
        <v>36.306278307685979</v>
      </c>
      <c r="J123" s="1605"/>
      <c r="K123" s="1548" t="str">
        <f t="shared" si="17"/>
        <v>Producto Plátano burro</v>
      </c>
      <c r="L123" s="1035"/>
      <c r="M123" s="1036"/>
      <c r="N123" s="1036"/>
    </row>
    <row r="124" spans="1:37" ht="20.65" customHeight="1" x14ac:dyDescent="0.2">
      <c r="A124" s="986" t="s">
        <v>933</v>
      </c>
      <c r="B124" s="992"/>
      <c r="C124" s="1487"/>
      <c r="D124" s="992"/>
      <c r="E124" s="1475">
        <f t="shared" si="18"/>
        <v>0</v>
      </c>
      <c r="F124" s="1023"/>
      <c r="G124" s="820"/>
      <c r="H124" s="1213"/>
      <c r="I124" s="1605">
        <f t="shared" si="19"/>
        <v>0</v>
      </c>
      <c r="J124" s="1605"/>
      <c r="K124" s="1182" t="str">
        <f t="shared" si="17"/>
        <v>Producto Plátano burro</v>
      </c>
      <c r="L124" s="1030"/>
      <c r="M124" s="1031"/>
      <c r="N124" s="1031"/>
    </row>
    <row r="125" spans="1:37" ht="20.65" customHeight="1" x14ac:dyDescent="0.2">
      <c r="A125" s="986" t="s">
        <v>283</v>
      </c>
      <c r="B125" s="992" t="s">
        <v>934</v>
      </c>
      <c r="C125" s="1023">
        <v>8.4</v>
      </c>
      <c r="D125" s="820">
        <v>18</v>
      </c>
      <c r="E125" s="1475">
        <f t="shared" si="18"/>
        <v>151.20000000000002</v>
      </c>
      <c r="F125" s="1023">
        <v>15</v>
      </c>
      <c r="G125" s="820">
        <f>'Otros insumos'!C$19</f>
        <v>86.4</v>
      </c>
      <c r="H125" s="1213">
        <f>F125*G125</f>
        <v>1296</v>
      </c>
      <c r="I125" s="1605">
        <f t="shared" si="19"/>
        <v>3.7019940493873422</v>
      </c>
      <c r="J125" s="1605"/>
      <c r="K125" s="1182" t="str">
        <f t="shared" si="17"/>
        <v>Producto Plátano burro</v>
      </c>
      <c r="L125" s="1030"/>
      <c r="M125" s="1031" t="e">
        <f>#REF!</f>
        <v>#REF!</v>
      </c>
      <c r="N125" s="1031"/>
    </row>
    <row r="126" spans="1:37" s="1019" customFormat="1" ht="20.65" customHeight="1" x14ac:dyDescent="0.2">
      <c r="A126" s="1016" t="s">
        <v>234</v>
      </c>
      <c r="B126" s="1017" t="s">
        <v>638</v>
      </c>
      <c r="C126" s="1024">
        <v>261.72000000000003</v>
      </c>
      <c r="D126" s="1018">
        <v>2</v>
      </c>
      <c r="E126" s="1578">
        <f t="shared" si="18"/>
        <v>523.44000000000005</v>
      </c>
      <c r="F126" s="1024">
        <v>180</v>
      </c>
      <c r="G126" s="1018">
        <v>13.9</v>
      </c>
      <c r="H126" s="1216">
        <f>F126*G126</f>
        <v>2502</v>
      </c>
      <c r="I126" s="1579">
        <f t="shared" si="19"/>
        <v>7.1469051786783417</v>
      </c>
      <c r="J126" s="1579"/>
      <c r="K126" s="1579" t="str">
        <f t="shared" si="17"/>
        <v>Producto Plátano burro</v>
      </c>
      <c r="L126" s="1580">
        <v>24.75</v>
      </c>
      <c r="M126" s="1581">
        <f>F126*L126</f>
        <v>4455</v>
      </c>
      <c r="N126" s="1581"/>
    </row>
    <row r="127" spans="1:37" s="1019" customFormat="1" ht="20.65" customHeight="1" x14ac:dyDescent="0.2">
      <c r="A127" s="1694" t="s">
        <v>935</v>
      </c>
      <c r="B127" s="1017" t="s">
        <v>936</v>
      </c>
      <c r="C127" s="1024">
        <v>1696</v>
      </c>
      <c r="D127" s="1018">
        <v>0.17</v>
      </c>
      <c r="E127" s="1578">
        <f t="shared" si="18"/>
        <v>288.32</v>
      </c>
      <c r="F127" s="1024">
        <v>10000</v>
      </c>
      <c r="G127" s="1018">
        <v>1.85</v>
      </c>
      <c r="H127" s="1216">
        <f>F127*G127</f>
        <v>18500</v>
      </c>
      <c r="I127" s="1579">
        <f t="shared" si="19"/>
        <v>52.844822464248331</v>
      </c>
      <c r="J127" s="1579"/>
      <c r="K127" s="1579" t="str">
        <f t="shared" si="17"/>
        <v>Producto Plátano burro</v>
      </c>
      <c r="L127" s="1580"/>
      <c r="M127" s="1581" t="e">
        <f>#REF!</f>
        <v>#REF!</v>
      </c>
      <c r="N127" s="1581"/>
    </row>
    <row r="128" spans="1:37" s="184" customFormat="1" ht="20.65" customHeight="1" x14ac:dyDescent="0.25">
      <c r="A128" s="844" t="s">
        <v>1476</v>
      </c>
      <c r="B128" s="842"/>
      <c r="C128" s="1486"/>
      <c r="D128" s="842"/>
      <c r="E128" s="1472">
        <f>E125+E126+E127</f>
        <v>962.96</v>
      </c>
      <c r="F128" s="1217"/>
      <c r="G128" s="1217"/>
      <c r="H128" s="1217">
        <f>H125+H126+H127</f>
        <v>22298</v>
      </c>
      <c r="I128" s="1605">
        <f t="shared" si="19"/>
        <v>63.693721692314014</v>
      </c>
      <c r="J128" s="1605"/>
      <c r="K128" s="1548" t="str">
        <f t="shared" si="17"/>
        <v>Producto Plátano burro</v>
      </c>
      <c r="L128" s="1035"/>
      <c r="M128" s="1036" t="e">
        <f>SUM(M125:M127)</f>
        <v>#REF!</v>
      </c>
      <c r="N128" s="1036"/>
    </row>
    <row r="129" spans="1:14" ht="20.65" customHeight="1" thickBot="1" x14ac:dyDescent="0.3">
      <c r="A129" s="1311" t="s">
        <v>962</v>
      </c>
      <c r="B129" s="1312"/>
      <c r="C129" s="1488"/>
      <c r="D129" s="1312"/>
      <c r="E129" s="1473">
        <f>E123+E128</f>
        <v>4032.96</v>
      </c>
      <c r="F129" s="1218">
        <f>F123+F128</f>
        <v>0</v>
      </c>
      <c r="G129" s="1218">
        <f>G123+G128</f>
        <v>0</v>
      </c>
      <c r="H129" s="1218">
        <f>H123+H128</f>
        <v>35008.160000000003</v>
      </c>
      <c r="I129" s="1605">
        <f t="shared" si="19"/>
        <v>100</v>
      </c>
      <c r="J129" s="1605"/>
      <c r="K129" s="1182" t="str">
        <f t="shared" si="17"/>
        <v>Producto Plátano burro</v>
      </c>
      <c r="L129" s="1030"/>
      <c r="M129" s="1031"/>
      <c r="N129" s="1031"/>
    </row>
    <row r="130" spans="1:14" ht="20.65" customHeight="1" x14ac:dyDescent="0.2">
      <c r="A130" s="1798" t="s">
        <v>232</v>
      </c>
      <c r="B130" s="1799"/>
      <c r="C130" s="1799"/>
      <c r="D130" s="1799"/>
      <c r="E130" s="1799"/>
      <c r="F130" s="1799"/>
      <c r="G130" s="1799"/>
      <c r="H130" s="1810" t="s">
        <v>230</v>
      </c>
      <c r="I130" s="1004"/>
      <c r="J130" s="1004"/>
      <c r="K130" s="1182" t="str">
        <f t="shared" si="17"/>
        <v>Producto Plátano burro</v>
      </c>
      <c r="L130" s="1030"/>
      <c r="M130" s="1031"/>
      <c r="N130" s="1031"/>
    </row>
    <row r="131" spans="1:14" ht="20.65" customHeight="1" thickBot="1" x14ac:dyDescent="0.25">
      <c r="A131" s="1820"/>
      <c r="B131" s="1821"/>
      <c r="C131" s="1821"/>
      <c r="D131" s="1821"/>
      <c r="E131" s="1821"/>
      <c r="F131" s="1821"/>
      <c r="G131" s="1821"/>
      <c r="H131" s="1801"/>
      <c r="I131" s="1004"/>
      <c r="J131" s="1004"/>
      <c r="K131" s="1182" t="str">
        <f t="shared" si="17"/>
        <v>Producto Plátano burro</v>
      </c>
      <c r="L131" s="1030"/>
      <c r="M131" s="1031"/>
      <c r="N131" s="1031"/>
    </row>
    <row r="132" spans="1:14" ht="20.65" customHeight="1" x14ac:dyDescent="0.2">
      <c r="A132" s="1798" t="s">
        <v>969</v>
      </c>
      <c r="B132" s="1799"/>
      <c r="C132" s="1799"/>
      <c r="D132" s="1799"/>
      <c r="E132" s="1799"/>
      <c r="F132" s="1799"/>
      <c r="G132" s="1799"/>
      <c r="H132" s="1800">
        <f ca="1">TODAY()</f>
        <v>45398</v>
      </c>
      <c r="I132" s="1609"/>
      <c r="J132" s="1609"/>
      <c r="K132" s="1182" t="str">
        <f t="shared" si="17"/>
        <v>Producto Plátano burro</v>
      </c>
      <c r="L132" s="1030"/>
      <c r="M132" s="1031"/>
      <c r="N132" s="1031"/>
    </row>
    <row r="133" spans="1:14" ht="20.65" customHeight="1" thickBot="1" x14ac:dyDescent="0.25">
      <c r="A133" s="1822"/>
      <c r="B133" s="1823"/>
      <c r="C133" s="1823"/>
      <c r="D133" s="1823"/>
      <c r="E133" s="1823"/>
      <c r="F133" s="1823"/>
      <c r="G133" s="1823"/>
      <c r="H133" s="1801"/>
      <c r="I133" s="1004"/>
      <c r="J133" s="1004"/>
      <c r="K133" s="1182" t="str">
        <f t="shared" si="17"/>
        <v>Producto Plátano burro</v>
      </c>
      <c r="L133" s="1030"/>
      <c r="M133" s="1031"/>
      <c r="N133" s="1031"/>
    </row>
    <row r="134" spans="1:14" s="845" customFormat="1" ht="20.65" customHeight="1" x14ac:dyDescent="0.25">
      <c r="A134" s="1807" t="s">
        <v>2093</v>
      </c>
      <c r="B134" s="1808"/>
      <c r="C134" s="1808"/>
      <c r="D134" s="1808"/>
      <c r="E134" s="1808"/>
      <c r="F134" s="1808"/>
      <c r="G134" s="1808"/>
      <c r="H134" s="1809"/>
      <c r="I134" s="1607"/>
      <c r="J134" s="1607"/>
      <c r="K134" s="1548" t="str">
        <f t="shared" ref="K134:K163" si="21">A$136</f>
        <v>Producto: Plátano vianda extradenso</v>
      </c>
      <c r="L134" s="1028"/>
      <c r="M134" s="1029"/>
      <c r="N134" s="1029"/>
    </row>
    <row r="135" spans="1:14" s="845" customFormat="1" ht="20.65" customHeight="1" x14ac:dyDescent="0.25">
      <c r="A135" s="1824" t="s">
        <v>925</v>
      </c>
      <c r="B135" s="1825"/>
      <c r="C135" s="1825"/>
      <c r="D135" s="1825"/>
      <c r="E135" s="1825"/>
      <c r="F135" s="1825"/>
      <c r="G135" s="1825"/>
      <c r="H135" s="1826"/>
      <c r="I135" s="1599"/>
      <c r="J135" s="1599"/>
      <c r="K135" s="1548" t="str">
        <f t="shared" si="21"/>
        <v>Producto: Plátano vianda extradenso</v>
      </c>
      <c r="L135" s="1028"/>
      <c r="M135" s="1029"/>
      <c r="N135" s="1029"/>
    </row>
    <row r="136" spans="1:14" ht="20.65" customHeight="1" thickBot="1" x14ac:dyDescent="0.25">
      <c r="A136" s="982" t="s">
        <v>2083</v>
      </c>
      <c r="B136" s="980"/>
      <c r="C136" s="1021"/>
      <c r="D136" s="980"/>
      <c r="E136" s="1468"/>
      <c r="F136" s="1021"/>
      <c r="G136" s="980"/>
      <c r="H136" s="1219"/>
      <c r="I136" s="1608"/>
      <c r="J136" s="1608"/>
      <c r="K136" s="1182" t="str">
        <f t="shared" si="21"/>
        <v>Producto: Plátano vianda extradenso</v>
      </c>
      <c r="L136" s="1030"/>
      <c r="M136" s="1031"/>
      <c r="N136" s="1031"/>
    </row>
    <row r="137" spans="1:14" ht="20.65" customHeight="1" x14ac:dyDescent="0.2">
      <c r="A137" s="1802" t="s">
        <v>1378</v>
      </c>
      <c r="B137" s="1805" t="s">
        <v>226</v>
      </c>
      <c r="C137" s="1817" t="s">
        <v>1379</v>
      </c>
      <c r="D137" s="1814" t="s">
        <v>1963</v>
      </c>
      <c r="E137" s="1811" t="s">
        <v>1964</v>
      </c>
      <c r="F137" s="1817" t="s">
        <v>1962</v>
      </c>
      <c r="G137" s="1814" t="s">
        <v>1965</v>
      </c>
      <c r="H137" s="1811" t="s">
        <v>1966</v>
      </c>
      <c r="I137" s="1603"/>
      <c r="J137" s="1603"/>
      <c r="K137" s="1182" t="str">
        <f t="shared" si="21"/>
        <v>Producto: Plátano vianda extradenso</v>
      </c>
      <c r="L137" s="1797" t="e">
        <f>#REF!/21.74</f>
        <v>#REF!</v>
      </c>
      <c r="M137" s="1797"/>
      <c r="N137" s="1797"/>
    </row>
    <row r="138" spans="1:14" ht="20.65" customHeight="1" x14ac:dyDescent="0.2">
      <c r="A138" s="1803"/>
      <c r="B138" s="1751"/>
      <c r="C138" s="1818"/>
      <c r="D138" s="1815"/>
      <c r="E138" s="1827"/>
      <c r="F138" s="1818"/>
      <c r="G138" s="1815"/>
      <c r="H138" s="1812"/>
      <c r="I138" s="1604"/>
      <c r="J138" s="1604"/>
      <c r="K138" s="1182" t="str">
        <f t="shared" si="21"/>
        <v>Producto: Plátano vianda extradenso</v>
      </c>
      <c r="L138" s="1030"/>
      <c r="M138" s="1031"/>
      <c r="N138" s="1031"/>
    </row>
    <row r="139" spans="1:14" ht="20.65" customHeight="1" thickBot="1" x14ac:dyDescent="0.25">
      <c r="A139" s="1804"/>
      <c r="B139" s="1806"/>
      <c r="C139" s="1819"/>
      <c r="D139" s="1816"/>
      <c r="E139" s="1828"/>
      <c r="F139" s="1819"/>
      <c r="G139" s="1816"/>
      <c r="H139" s="1813"/>
      <c r="I139" s="1604"/>
      <c r="J139" s="1604"/>
      <c r="K139" s="1182" t="str">
        <f t="shared" si="21"/>
        <v>Producto: Plátano vianda extradenso</v>
      </c>
      <c r="L139" s="1030"/>
      <c r="M139" s="1031"/>
      <c r="N139" s="1031"/>
    </row>
    <row r="140" spans="1:14" ht="20.65" customHeight="1" x14ac:dyDescent="0.2">
      <c r="A140" s="983">
        <v>1</v>
      </c>
      <c r="B140" s="984">
        <v>2</v>
      </c>
      <c r="C140" s="1482"/>
      <c r="D140" s="984"/>
      <c r="E140" s="1469"/>
      <c r="F140" s="985">
        <v>3</v>
      </c>
      <c r="G140" s="985">
        <v>4</v>
      </c>
      <c r="H140" s="1212">
        <v>6</v>
      </c>
      <c r="I140" s="1605"/>
      <c r="J140" s="1605"/>
      <c r="K140" s="1182" t="str">
        <f t="shared" si="21"/>
        <v>Producto: Plátano vianda extradenso</v>
      </c>
      <c r="L140" s="1014"/>
      <c r="M140" s="1032"/>
      <c r="N140" s="1032"/>
    </row>
    <row r="141" spans="1:14" ht="20.65" customHeight="1" x14ac:dyDescent="0.2">
      <c r="A141" s="1464" t="s">
        <v>295</v>
      </c>
      <c r="B141" s="1461" t="s">
        <v>949</v>
      </c>
      <c r="C141" s="1465">
        <v>2200</v>
      </c>
      <c r="D141" s="818">
        <v>1.2</v>
      </c>
      <c r="E141" s="1475">
        <f>C141*D141</f>
        <v>2640</v>
      </c>
      <c r="F141" s="1462">
        <v>3333</v>
      </c>
      <c r="G141" s="1462">
        <v>22</v>
      </c>
      <c r="H141" s="1740">
        <f>F141*G141</f>
        <v>73326</v>
      </c>
      <c r="I141" s="1605">
        <f>H141/H$159%</f>
        <v>216.66390885022696</v>
      </c>
      <c r="J141" s="1605"/>
      <c r="K141" s="1182" t="str">
        <f t="shared" si="21"/>
        <v>Producto: Plátano vianda extradenso</v>
      </c>
      <c r="L141" s="1014"/>
      <c r="M141" s="1032"/>
      <c r="N141" s="1032"/>
    </row>
    <row r="142" spans="1:14" ht="20.65" customHeight="1" x14ac:dyDescent="0.2">
      <c r="A142" s="994" t="s">
        <v>2071</v>
      </c>
      <c r="B142" s="992" t="s">
        <v>437</v>
      </c>
      <c r="C142" s="1023">
        <v>1.94</v>
      </c>
      <c r="D142" s="820">
        <v>1500</v>
      </c>
      <c r="E142" s="1475">
        <f t="shared" ref="E142:E156" si="22">C142*D142</f>
        <v>2910</v>
      </c>
      <c r="F142" s="1023"/>
      <c r="G142" s="820"/>
      <c r="H142" s="1213">
        <f>H143+H144</f>
        <v>6000</v>
      </c>
      <c r="I142" s="1605">
        <f t="shared" ref="I142:I159" si="23">H142/H$159%</f>
        <v>17.728819969742815</v>
      </c>
      <c r="J142" s="1605"/>
      <c r="K142" s="1182" t="str">
        <f t="shared" si="21"/>
        <v>Producto: Plátano vianda extradenso</v>
      </c>
      <c r="L142" s="1030"/>
      <c r="M142" s="1031"/>
      <c r="N142" s="1031"/>
    </row>
    <row r="143" spans="1:14" ht="20.65" customHeight="1" x14ac:dyDescent="0.2">
      <c r="A143" s="994" t="s">
        <v>2079</v>
      </c>
      <c r="B143" s="992" t="s">
        <v>437</v>
      </c>
      <c r="C143" s="1023">
        <v>3</v>
      </c>
      <c r="D143" s="820">
        <v>1500</v>
      </c>
      <c r="E143" s="1475">
        <f t="shared" si="22"/>
        <v>4500</v>
      </c>
      <c r="F143" s="1023">
        <v>8</v>
      </c>
      <c r="G143" s="820">
        <v>450</v>
      </c>
      <c r="H143" s="1213">
        <f t="shared" ref="H143:H150" si="24">F143*G143</f>
        <v>3600</v>
      </c>
      <c r="I143" s="1605">
        <f t="shared" si="23"/>
        <v>10.63729198184569</v>
      </c>
      <c r="J143" s="1605"/>
      <c r="K143" s="1182" t="str">
        <f t="shared" si="21"/>
        <v>Producto: Plátano vianda extradenso</v>
      </c>
      <c r="L143" s="1030"/>
      <c r="M143" s="1031"/>
      <c r="N143" s="1031"/>
    </row>
    <row r="144" spans="1:14" ht="20.65" customHeight="1" thickBot="1" x14ac:dyDescent="0.25">
      <c r="A144" s="994" t="s">
        <v>2075</v>
      </c>
      <c r="B144" s="992" t="s">
        <v>437</v>
      </c>
      <c r="C144" s="1023"/>
      <c r="D144" s="820"/>
      <c r="E144" s="1475"/>
      <c r="F144" s="1023">
        <v>4</v>
      </c>
      <c r="G144" s="820">
        <v>600</v>
      </c>
      <c r="H144" s="1213">
        <f t="shared" si="24"/>
        <v>2400</v>
      </c>
      <c r="I144" s="1605">
        <f t="shared" si="23"/>
        <v>7.091527987897126</v>
      </c>
      <c r="J144" s="1605"/>
      <c r="K144" s="1182" t="str">
        <f t="shared" si="21"/>
        <v>Producto: Plátano vianda extradenso</v>
      </c>
      <c r="L144" s="1030"/>
      <c r="M144" s="1031"/>
      <c r="N144" s="1031"/>
    </row>
    <row r="145" spans="1:14" ht="20.65" customHeight="1" thickBot="1" x14ac:dyDescent="0.25">
      <c r="A145" s="1731" t="s">
        <v>2085</v>
      </c>
      <c r="B145" s="992" t="s">
        <v>2086</v>
      </c>
      <c r="C145" s="1023">
        <v>4</v>
      </c>
      <c r="D145" s="820">
        <v>30</v>
      </c>
      <c r="E145" s="1475">
        <f t="shared" ref="E145:E150" si="25">C145*D145</f>
        <v>120</v>
      </c>
      <c r="F145" s="1023">
        <v>10</v>
      </c>
      <c r="G145" s="820">
        <v>422.42</v>
      </c>
      <c r="H145" s="1213">
        <f t="shared" si="24"/>
        <v>4224.2</v>
      </c>
      <c r="I145" s="1605">
        <f t="shared" si="23"/>
        <v>12.4816802193646</v>
      </c>
      <c r="J145" s="1605"/>
      <c r="K145" s="1182" t="str">
        <f t="shared" si="21"/>
        <v>Producto: Plátano vianda extradenso</v>
      </c>
      <c r="L145" s="1030"/>
      <c r="M145" s="1031"/>
      <c r="N145" s="1031"/>
    </row>
    <row r="146" spans="1:14" ht="20.65" customHeight="1" thickBot="1" x14ac:dyDescent="0.25">
      <c r="A146" s="1725" t="s">
        <v>1959</v>
      </c>
      <c r="B146" s="992" t="s">
        <v>638</v>
      </c>
      <c r="C146" s="1023">
        <v>8</v>
      </c>
      <c r="D146" s="820">
        <v>30</v>
      </c>
      <c r="E146" s="1475">
        <f t="shared" si="25"/>
        <v>240</v>
      </c>
      <c r="F146" s="1023">
        <v>8</v>
      </c>
      <c r="G146" s="820">
        <v>32</v>
      </c>
      <c r="H146" s="1213">
        <f t="shared" si="24"/>
        <v>256</v>
      </c>
      <c r="I146" s="1605">
        <f t="shared" si="23"/>
        <v>0.75642965204236012</v>
      </c>
      <c r="J146" s="1605"/>
      <c r="K146" s="1182" t="str">
        <f t="shared" si="21"/>
        <v>Producto: Plátano vianda extradenso</v>
      </c>
      <c r="L146" s="1030"/>
      <c r="M146" s="1031"/>
      <c r="N146" s="1031"/>
    </row>
    <row r="147" spans="1:14" ht="15.75" thickBot="1" x14ac:dyDescent="0.25">
      <c r="A147" s="1725" t="s">
        <v>1931</v>
      </c>
      <c r="B147" s="992" t="s">
        <v>638</v>
      </c>
      <c r="C147" s="1023">
        <v>2.5</v>
      </c>
      <c r="D147" s="820">
        <v>10</v>
      </c>
      <c r="E147" s="1475">
        <f t="shared" si="25"/>
        <v>25</v>
      </c>
      <c r="F147" s="1023">
        <v>6</v>
      </c>
      <c r="G147" s="820">
        <v>32</v>
      </c>
      <c r="H147" s="1213">
        <f t="shared" si="24"/>
        <v>192</v>
      </c>
      <c r="I147" s="1605">
        <f t="shared" si="23"/>
        <v>0.56732223903177015</v>
      </c>
      <c r="J147" s="1605"/>
      <c r="K147" s="1182" t="str">
        <f t="shared" si="21"/>
        <v>Producto: Plátano vianda extradenso</v>
      </c>
      <c r="L147" s="1030"/>
      <c r="M147" s="1031"/>
      <c r="N147" s="1031"/>
    </row>
    <row r="148" spans="1:14" ht="20.65" customHeight="1" thickBot="1" x14ac:dyDescent="0.25">
      <c r="A148" s="1725" t="s">
        <v>2066</v>
      </c>
      <c r="B148" s="992" t="s">
        <v>638</v>
      </c>
      <c r="C148" s="1023">
        <v>8</v>
      </c>
      <c r="D148" s="820">
        <v>15</v>
      </c>
      <c r="E148" s="1475">
        <f t="shared" si="25"/>
        <v>120</v>
      </c>
      <c r="F148" s="1023">
        <v>6</v>
      </c>
      <c r="G148" s="820">
        <v>32</v>
      </c>
      <c r="H148" s="1213">
        <f t="shared" si="24"/>
        <v>192</v>
      </c>
      <c r="I148" s="1605">
        <f t="shared" si="23"/>
        <v>0.56732223903177015</v>
      </c>
      <c r="J148" s="1605"/>
      <c r="K148" s="1182" t="str">
        <f t="shared" si="21"/>
        <v>Producto: Plátano vianda extradenso</v>
      </c>
      <c r="L148" s="1030"/>
      <c r="M148" s="1031"/>
      <c r="N148" s="1031"/>
    </row>
    <row r="149" spans="1:14" ht="20.65" customHeight="1" thickBot="1" x14ac:dyDescent="0.25">
      <c r="A149" s="1725" t="s">
        <v>2066</v>
      </c>
      <c r="B149" s="1732" t="s">
        <v>638</v>
      </c>
      <c r="C149" s="1733"/>
      <c r="D149" s="1732"/>
      <c r="E149" s="1475">
        <f t="shared" si="25"/>
        <v>0</v>
      </c>
      <c r="F149" s="1479">
        <v>6</v>
      </c>
      <c r="G149" s="1734">
        <v>32</v>
      </c>
      <c r="H149" s="1213">
        <f t="shared" si="24"/>
        <v>192</v>
      </c>
      <c r="I149" s="1605">
        <f t="shared" si="23"/>
        <v>0.56732223903177015</v>
      </c>
      <c r="J149" s="1605"/>
      <c r="K149" s="1182" t="str">
        <f t="shared" si="21"/>
        <v>Producto: Plátano vianda extradenso</v>
      </c>
      <c r="L149" s="1030"/>
      <c r="M149" s="1031"/>
      <c r="N149" s="1031"/>
    </row>
    <row r="150" spans="1:14" ht="20.65" customHeight="1" thickBot="1" x14ac:dyDescent="0.25">
      <c r="A150" s="1725" t="s">
        <v>2069</v>
      </c>
      <c r="B150" s="989" t="s">
        <v>2061</v>
      </c>
      <c r="C150" s="1483"/>
      <c r="D150" s="989"/>
      <c r="E150" s="1475">
        <f t="shared" si="25"/>
        <v>0</v>
      </c>
      <c r="F150" s="1023">
        <v>6</v>
      </c>
      <c r="G150" s="990">
        <v>12</v>
      </c>
      <c r="H150" s="1213">
        <f t="shared" si="24"/>
        <v>72</v>
      </c>
      <c r="I150" s="1605">
        <f t="shared" si="23"/>
        <v>0.21274583963691379</v>
      </c>
      <c r="J150" s="1605"/>
      <c r="K150" s="1182" t="str">
        <f t="shared" si="21"/>
        <v>Producto: Plátano vianda extradenso</v>
      </c>
      <c r="L150" s="1030"/>
      <c r="M150" s="1031"/>
      <c r="N150" s="1031"/>
    </row>
    <row r="151" spans="1:14" ht="20.65" customHeight="1" x14ac:dyDescent="0.2">
      <c r="A151" s="986" t="s">
        <v>1877</v>
      </c>
      <c r="B151" s="1241"/>
      <c r="C151" s="1242"/>
      <c r="D151" s="1241"/>
      <c r="E151" s="1475">
        <f>C151*D151</f>
        <v>0</v>
      </c>
      <c r="F151" s="1242"/>
      <c r="G151" s="1243"/>
      <c r="H151" s="1739">
        <f>H145+H146+H147+H148+H149+H150</f>
        <v>5128.2</v>
      </c>
      <c r="I151" s="1605">
        <f t="shared" si="23"/>
        <v>15.152822428139185</v>
      </c>
      <c r="J151" s="1605"/>
      <c r="K151" s="1182" t="str">
        <f t="shared" si="21"/>
        <v>Producto: Plátano vianda extradenso</v>
      </c>
      <c r="L151" s="1030"/>
      <c r="M151" s="1031"/>
      <c r="N151" s="1031"/>
    </row>
    <row r="152" spans="1:14" ht="20.65" customHeight="1" x14ac:dyDescent="0.2">
      <c r="A152" s="988"/>
      <c r="B152" s="989"/>
      <c r="C152" s="1483"/>
      <c r="D152" s="989"/>
      <c r="E152" s="1475">
        <f t="shared" si="22"/>
        <v>0</v>
      </c>
      <c r="F152" s="990"/>
      <c r="G152" s="1208"/>
      <c r="H152" s="1213">
        <f>F152*G152</f>
        <v>0</v>
      </c>
      <c r="I152" s="1605">
        <f t="shared" si="23"/>
        <v>0</v>
      </c>
      <c r="J152" s="1605"/>
      <c r="K152" s="1182" t="str">
        <f t="shared" si="21"/>
        <v>Producto: Plátano vianda extradenso</v>
      </c>
      <c r="L152" s="1030"/>
      <c r="M152" s="1031"/>
      <c r="N152" s="1031"/>
    </row>
    <row r="153" spans="1:14" s="184" customFormat="1" ht="20.65" customHeight="1" x14ac:dyDescent="0.25">
      <c r="A153" s="843" t="s">
        <v>1477</v>
      </c>
      <c r="B153" s="842"/>
      <c r="C153" s="1486"/>
      <c r="D153" s="842"/>
      <c r="E153" s="1471">
        <f>SUM(E142:E152)</f>
        <v>7915</v>
      </c>
      <c r="F153" s="1215"/>
      <c r="G153" s="1215"/>
      <c r="H153" s="1215">
        <f>H142+H151</f>
        <v>11128.2</v>
      </c>
      <c r="I153" s="1605">
        <f t="shared" si="23"/>
        <v>32.881642397882004</v>
      </c>
      <c r="J153" s="1605"/>
      <c r="K153" s="1548" t="str">
        <f t="shared" si="21"/>
        <v>Producto: Plátano vianda extradenso</v>
      </c>
      <c r="L153" s="1035"/>
      <c r="M153" s="1036"/>
      <c r="N153" s="1036"/>
    </row>
    <row r="154" spans="1:14" ht="20.65" customHeight="1" x14ac:dyDescent="0.2">
      <c r="A154" s="986" t="s">
        <v>933</v>
      </c>
      <c r="B154" s="992"/>
      <c r="C154" s="1487"/>
      <c r="D154" s="992"/>
      <c r="E154" s="1475">
        <f t="shared" si="22"/>
        <v>0</v>
      </c>
      <c r="F154" s="1023"/>
      <c r="G154" s="820"/>
      <c r="H154" s="1213"/>
      <c r="I154" s="1605">
        <f t="shared" si="23"/>
        <v>0</v>
      </c>
      <c r="J154" s="1605"/>
      <c r="K154" s="1182" t="str">
        <f t="shared" si="21"/>
        <v>Producto: Plátano vianda extradenso</v>
      </c>
      <c r="L154" s="1030"/>
      <c r="M154" s="1031"/>
      <c r="N154" s="1031"/>
    </row>
    <row r="155" spans="1:14" ht="20.65" customHeight="1" x14ac:dyDescent="0.2">
      <c r="A155" s="986" t="s">
        <v>283</v>
      </c>
      <c r="B155" s="992" t="s">
        <v>934</v>
      </c>
      <c r="C155" s="1487">
        <v>8.4</v>
      </c>
      <c r="D155" s="1466">
        <v>18</v>
      </c>
      <c r="E155" s="1475">
        <f t="shared" si="22"/>
        <v>151.20000000000002</v>
      </c>
      <c r="F155" s="1023">
        <v>15</v>
      </c>
      <c r="G155" s="820">
        <v>86.4</v>
      </c>
      <c r="H155" s="1213">
        <f>F155*G155</f>
        <v>1296</v>
      </c>
      <c r="I155" s="1605">
        <f t="shared" si="23"/>
        <v>3.8294251134644481</v>
      </c>
      <c r="J155" s="1605"/>
      <c r="K155" s="1182" t="str">
        <f t="shared" si="21"/>
        <v>Producto: Plátano vianda extradenso</v>
      </c>
      <c r="L155" s="1030"/>
      <c r="M155" s="1031" t="e">
        <f>#REF!</f>
        <v>#REF!</v>
      </c>
      <c r="N155" s="1031"/>
    </row>
    <row r="156" spans="1:14" s="1019" customFormat="1" ht="20.65" customHeight="1" x14ac:dyDescent="0.2">
      <c r="A156" s="1016" t="s">
        <v>234</v>
      </c>
      <c r="B156" s="1017" t="s">
        <v>638</v>
      </c>
      <c r="C156" s="1489">
        <v>316.16000000000003</v>
      </c>
      <c r="D156" s="1017">
        <v>2</v>
      </c>
      <c r="E156" s="1578">
        <f t="shared" si="22"/>
        <v>632.32000000000005</v>
      </c>
      <c r="F156" s="1024">
        <v>210</v>
      </c>
      <c r="G156" s="1018">
        <v>13.9</v>
      </c>
      <c r="H156" s="1216">
        <f>F156*G156</f>
        <v>2919</v>
      </c>
      <c r="I156" s="1579">
        <f t="shared" si="23"/>
        <v>8.6250709152798795</v>
      </c>
      <c r="J156" s="1579"/>
      <c r="K156" s="1579" t="str">
        <f t="shared" si="21"/>
        <v>Producto: Plátano vianda extradenso</v>
      </c>
      <c r="L156" s="1580">
        <v>24.75</v>
      </c>
      <c r="M156" s="1581">
        <f>F156*L156</f>
        <v>5197.5</v>
      </c>
      <c r="N156" s="1581"/>
    </row>
    <row r="157" spans="1:14" s="1019" customFormat="1" ht="20.65" customHeight="1" x14ac:dyDescent="0.2">
      <c r="A157" s="1694" t="s">
        <v>935</v>
      </c>
      <c r="B157" s="1017" t="s">
        <v>936</v>
      </c>
      <c r="C157" s="1489"/>
      <c r="D157" s="1017"/>
      <c r="E157" s="1696"/>
      <c r="F157" s="1024">
        <v>10000</v>
      </c>
      <c r="G157" s="1018">
        <f>'Otros insumos'!F32</f>
        <v>1.85</v>
      </c>
      <c r="H157" s="1216">
        <f>F157*G157</f>
        <v>18500</v>
      </c>
      <c r="I157" s="1579">
        <f t="shared" si="23"/>
        <v>54.66386157337368</v>
      </c>
      <c r="J157" s="1579"/>
      <c r="K157" s="1579" t="str">
        <f t="shared" si="21"/>
        <v>Producto: Plátano vianda extradenso</v>
      </c>
      <c r="L157" s="1580"/>
      <c r="M157" s="1581" t="e">
        <f>#REF!</f>
        <v>#REF!</v>
      </c>
      <c r="N157" s="1581"/>
    </row>
    <row r="158" spans="1:14" s="184" customFormat="1" ht="20.65" customHeight="1" x14ac:dyDescent="0.25">
      <c r="A158" s="844" t="s">
        <v>1476</v>
      </c>
      <c r="B158" s="842"/>
      <c r="C158" s="1486"/>
      <c r="D158" s="842"/>
      <c r="E158" s="1472">
        <f>E155+E156+E157</f>
        <v>783.5200000000001</v>
      </c>
      <c r="F158" s="1217"/>
      <c r="G158" s="1217"/>
      <c r="H158" s="1217">
        <f>H155+H156+H157</f>
        <v>22715</v>
      </c>
      <c r="I158" s="1605">
        <f t="shared" si="23"/>
        <v>67.11835760211801</v>
      </c>
      <c r="J158" s="1605"/>
      <c r="K158" s="1548" t="str">
        <f t="shared" si="21"/>
        <v>Producto: Plátano vianda extradenso</v>
      </c>
      <c r="L158" s="1035"/>
      <c r="M158" s="1036" t="e">
        <f>SUM(M155:M157)</f>
        <v>#REF!</v>
      </c>
      <c r="N158" s="1036"/>
    </row>
    <row r="159" spans="1:14" ht="20.65" customHeight="1" thickBot="1" x14ac:dyDescent="0.3">
      <c r="A159" s="1311" t="s">
        <v>962</v>
      </c>
      <c r="B159" s="1312"/>
      <c r="C159" s="1488"/>
      <c r="D159" s="1312"/>
      <c r="E159" s="1473">
        <f>E153+E158</f>
        <v>8698.52</v>
      </c>
      <c r="F159" s="1218">
        <f>F153+F158</f>
        <v>0</v>
      </c>
      <c r="G159" s="1218">
        <f>G153+G158</f>
        <v>0</v>
      </c>
      <c r="H159" s="1218">
        <f>H153+H158</f>
        <v>33843.199999999997</v>
      </c>
      <c r="I159" s="1605">
        <f t="shared" si="23"/>
        <v>100</v>
      </c>
      <c r="J159" s="1605"/>
      <c r="K159" s="1182" t="str">
        <f t="shared" si="21"/>
        <v>Producto: Plátano vianda extradenso</v>
      </c>
      <c r="L159" s="1030"/>
      <c r="M159" s="1031"/>
      <c r="N159" s="1031"/>
    </row>
    <row r="160" spans="1:14" ht="20.65" customHeight="1" x14ac:dyDescent="0.2">
      <c r="A160" s="1798" t="s">
        <v>232</v>
      </c>
      <c r="B160" s="1799"/>
      <c r="C160" s="1799"/>
      <c r="D160" s="1799"/>
      <c r="E160" s="1799"/>
      <c r="F160" s="1799"/>
      <c r="G160" s="1799"/>
      <c r="H160" s="1810" t="s">
        <v>230</v>
      </c>
      <c r="I160" s="1004"/>
      <c r="J160" s="1004"/>
      <c r="K160" s="1182" t="str">
        <f t="shared" si="21"/>
        <v>Producto: Plátano vianda extradenso</v>
      </c>
      <c r="L160" s="1030"/>
      <c r="M160" s="1031"/>
      <c r="N160" s="1031"/>
    </row>
    <row r="161" spans="1:14" ht="20.65" customHeight="1" thickBot="1" x14ac:dyDescent="0.25">
      <c r="A161" s="1820"/>
      <c r="B161" s="1821"/>
      <c r="C161" s="1821"/>
      <c r="D161" s="1821"/>
      <c r="E161" s="1821"/>
      <c r="F161" s="1821"/>
      <c r="G161" s="1821"/>
      <c r="H161" s="1801"/>
      <c r="I161" s="1004"/>
      <c r="J161" s="1004"/>
      <c r="K161" s="1182" t="str">
        <f t="shared" si="21"/>
        <v>Producto: Plátano vianda extradenso</v>
      </c>
      <c r="L161" s="1030"/>
      <c r="M161" s="1031"/>
      <c r="N161" s="1031"/>
    </row>
    <row r="162" spans="1:14" ht="20.65" customHeight="1" x14ac:dyDescent="0.2">
      <c r="A162" s="1798" t="s">
        <v>969</v>
      </c>
      <c r="B162" s="1799"/>
      <c r="C162" s="1799"/>
      <c r="D162" s="1799"/>
      <c r="E162" s="1799"/>
      <c r="F162" s="1799"/>
      <c r="G162" s="1799"/>
      <c r="H162" s="1800">
        <f ca="1">TODAY()</f>
        <v>45398</v>
      </c>
      <c r="I162" s="1609"/>
      <c r="J162" s="1609"/>
      <c r="K162" s="1182" t="str">
        <f t="shared" si="21"/>
        <v>Producto: Plátano vianda extradenso</v>
      </c>
      <c r="L162" s="1030"/>
      <c r="M162" s="1031"/>
      <c r="N162" s="1031"/>
    </row>
    <row r="163" spans="1:14" ht="20.65" customHeight="1" thickBot="1" x14ac:dyDescent="0.25">
      <c r="A163" s="1822"/>
      <c r="B163" s="1823"/>
      <c r="C163" s="1823"/>
      <c r="D163" s="1823"/>
      <c r="E163" s="1823"/>
      <c r="F163" s="1823"/>
      <c r="G163" s="1823"/>
      <c r="H163" s="1801"/>
      <c r="I163" s="1004"/>
      <c r="J163" s="1004"/>
      <c r="K163" s="1182" t="str">
        <f t="shared" si="21"/>
        <v>Producto: Plátano vianda extradenso</v>
      </c>
      <c r="L163" s="1030"/>
      <c r="M163" s="1031"/>
      <c r="N163" s="1031"/>
    </row>
    <row r="164" spans="1:14" s="845" customFormat="1" ht="20.65" customHeight="1" x14ac:dyDescent="0.25">
      <c r="A164" s="1807" t="s">
        <v>2093</v>
      </c>
      <c r="B164" s="1808"/>
      <c r="C164" s="1808"/>
      <c r="D164" s="1808"/>
      <c r="E164" s="1808"/>
      <c r="F164" s="1808"/>
      <c r="G164" s="1808"/>
      <c r="H164" s="1809"/>
      <c r="I164" s="1607"/>
      <c r="J164" s="1607"/>
      <c r="K164" s="1548" t="str">
        <f t="shared" ref="K164:K195" si="26">A$166</f>
        <v>Producto: Yuca</v>
      </c>
      <c r="L164" s="1028"/>
      <c r="M164" s="1029"/>
      <c r="N164" s="1029"/>
    </row>
    <row r="165" spans="1:14" s="845" customFormat="1" ht="20.65" customHeight="1" x14ac:dyDescent="0.25">
      <c r="A165" s="1824" t="s">
        <v>925</v>
      </c>
      <c r="B165" s="1825"/>
      <c r="C165" s="1825"/>
      <c r="D165" s="1825"/>
      <c r="E165" s="1825"/>
      <c r="F165" s="1825"/>
      <c r="G165" s="1825"/>
      <c r="H165" s="1826"/>
      <c r="I165" s="1599"/>
      <c r="J165" s="1599"/>
      <c r="K165" s="1548" t="str">
        <f t="shared" si="26"/>
        <v>Producto: Yuca</v>
      </c>
      <c r="L165" s="1028"/>
      <c r="M165" s="1029"/>
      <c r="N165" s="1029"/>
    </row>
    <row r="166" spans="1:14" ht="20.65" customHeight="1" thickBot="1" x14ac:dyDescent="0.25">
      <c r="A166" s="982" t="s">
        <v>28</v>
      </c>
      <c r="B166" s="980"/>
      <c r="C166" s="1021"/>
      <c r="D166" s="980"/>
      <c r="E166" s="1468"/>
      <c r="F166" s="1021"/>
      <c r="G166" s="980"/>
      <c r="H166" s="1219"/>
      <c r="I166" s="1608"/>
      <c r="J166" s="1608"/>
      <c r="K166" s="1182" t="str">
        <f t="shared" si="26"/>
        <v>Producto: Yuca</v>
      </c>
      <c r="L166" s="1030"/>
      <c r="M166" s="1031"/>
      <c r="N166" s="1031"/>
    </row>
    <row r="167" spans="1:14" ht="20.65" customHeight="1" x14ac:dyDescent="0.2">
      <c r="A167" s="1802" t="s">
        <v>1378</v>
      </c>
      <c r="B167" s="1805" t="s">
        <v>226</v>
      </c>
      <c r="C167" s="1817" t="s">
        <v>1379</v>
      </c>
      <c r="D167" s="1814" t="s">
        <v>1963</v>
      </c>
      <c r="E167" s="1811" t="s">
        <v>1964</v>
      </c>
      <c r="F167" s="1817" t="s">
        <v>1962</v>
      </c>
      <c r="G167" s="1814" t="s">
        <v>1965</v>
      </c>
      <c r="H167" s="1811" t="s">
        <v>1966</v>
      </c>
      <c r="I167" s="1603"/>
      <c r="J167" s="1603"/>
      <c r="K167" s="1182" t="str">
        <f t="shared" si="26"/>
        <v>Producto: Yuca</v>
      </c>
      <c r="L167" s="1797">
        <f>F171/21.74</f>
        <v>0.64397424103035883</v>
      </c>
      <c r="M167" s="1797"/>
      <c r="N167" s="1797"/>
    </row>
    <row r="168" spans="1:14" ht="20.65" customHeight="1" x14ac:dyDescent="0.2">
      <c r="A168" s="1803"/>
      <c r="B168" s="1751"/>
      <c r="C168" s="1818"/>
      <c r="D168" s="1815"/>
      <c r="E168" s="1827"/>
      <c r="F168" s="1818"/>
      <c r="G168" s="1815"/>
      <c r="H168" s="1812"/>
      <c r="I168" s="1604"/>
      <c r="J168" s="1604"/>
      <c r="K168" s="1182" t="str">
        <f t="shared" si="26"/>
        <v>Producto: Yuca</v>
      </c>
      <c r="L168" s="1030"/>
      <c r="M168" s="1031"/>
      <c r="N168" s="1031"/>
    </row>
    <row r="169" spans="1:14" ht="20.65" customHeight="1" thickBot="1" x14ac:dyDescent="0.25">
      <c r="A169" s="1804"/>
      <c r="B169" s="1806"/>
      <c r="C169" s="1819"/>
      <c r="D169" s="1816"/>
      <c r="E169" s="1828"/>
      <c r="F169" s="1819"/>
      <c r="G169" s="1816"/>
      <c r="H169" s="1813"/>
      <c r="I169" s="1604"/>
      <c r="J169" s="1604"/>
      <c r="K169" s="1182" t="str">
        <f t="shared" si="26"/>
        <v>Producto: Yuca</v>
      </c>
      <c r="L169" s="1030"/>
      <c r="M169" s="1031"/>
      <c r="N169" s="1031"/>
    </row>
    <row r="170" spans="1:14" ht="20.65" customHeight="1" x14ac:dyDescent="0.2">
      <c r="A170" s="983">
        <v>1</v>
      </c>
      <c r="B170" s="984">
        <v>2</v>
      </c>
      <c r="C170" s="1482"/>
      <c r="D170" s="984"/>
      <c r="E170" s="1469"/>
      <c r="F170" s="985">
        <v>3</v>
      </c>
      <c r="G170" s="985">
        <v>4</v>
      </c>
      <c r="H170" s="1212">
        <v>6</v>
      </c>
      <c r="I170" s="1605"/>
      <c r="J170" s="1605"/>
      <c r="K170" s="1182" t="str">
        <f t="shared" si="26"/>
        <v>Producto: Yuca</v>
      </c>
      <c r="L170" s="1014"/>
      <c r="M170" s="1032"/>
      <c r="N170" s="1032"/>
    </row>
    <row r="171" spans="1:14" s="785" customFormat="1" ht="20.65" customHeight="1" x14ac:dyDescent="0.2">
      <c r="A171" s="994" t="s">
        <v>295</v>
      </c>
      <c r="B171" s="993" t="s">
        <v>940</v>
      </c>
      <c r="C171" s="990">
        <v>14.2</v>
      </c>
      <c r="D171" s="819">
        <v>40</v>
      </c>
      <c r="E171" s="1474">
        <f>C171*D171</f>
        <v>568</v>
      </c>
      <c r="F171" s="990">
        <v>14</v>
      </c>
      <c r="G171" s="819">
        <v>1400</v>
      </c>
      <c r="H171" s="1213">
        <f t="shared" ref="H171:H182" si="27">F171*G171</f>
        <v>19600</v>
      </c>
      <c r="I171" s="1606">
        <f t="shared" ref="I171:I191" si="28">H171/H$191%</f>
        <v>75.014505355882591</v>
      </c>
      <c r="J171" s="1606"/>
      <c r="K171" s="1182" t="str">
        <f t="shared" si="26"/>
        <v>Producto: Yuca</v>
      </c>
      <c r="L171" s="1033"/>
      <c r="M171" s="1034"/>
      <c r="N171" s="1034"/>
    </row>
    <row r="172" spans="1:14" s="785" customFormat="1" ht="20.65" customHeight="1" x14ac:dyDescent="0.2">
      <c r="A172" s="994" t="s">
        <v>2071</v>
      </c>
      <c r="B172" s="993"/>
      <c r="C172" s="990"/>
      <c r="D172" s="819"/>
      <c r="E172" s="1474"/>
      <c r="F172" s="990"/>
      <c r="G172" s="819"/>
      <c r="H172" s="1213">
        <f>H177+H176+H175+H174+H173</f>
        <v>10516.26</v>
      </c>
      <c r="I172" s="1606"/>
      <c r="J172" s="1606"/>
      <c r="K172" s="1182"/>
      <c r="L172" s="1033"/>
      <c r="M172" s="1034"/>
      <c r="N172" s="1034"/>
    </row>
    <row r="173" spans="1:14" s="785" customFormat="1" ht="20.65" customHeight="1" x14ac:dyDescent="0.2">
      <c r="A173" s="988" t="s">
        <v>2072</v>
      </c>
      <c r="B173" s="992" t="s">
        <v>292</v>
      </c>
      <c r="C173" s="1023">
        <v>1.4</v>
      </c>
      <c r="D173" s="820">
        <v>2000</v>
      </c>
      <c r="E173" s="1474">
        <f t="shared" ref="E173" si="29">C173*D173</f>
        <v>2800</v>
      </c>
      <c r="F173" s="1023">
        <v>18</v>
      </c>
      <c r="G173" s="820">
        <v>8.4499999999999993</v>
      </c>
      <c r="H173" s="1213">
        <f t="shared" ref="H173:H177" si="30">F173*G173</f>
        <v>152.1</v>
      </c>
      <c r="I173" s="1606"/>
      <c r="J173" s="1606"/>
      <c r="K173" s="1182"/>
      <c r="L173" s="1033"/>
      <c r="M173" s="1034"/>
      <c r="N173" s="1034"/>
    </row>
    <row r="174" spans="1:14" s="785" customFormat="1" ht="20.65" customHeight="1" x14ac:dyDescent="0.2">
      <c r="A174" s="988" t="s">
        <v>2078</v>
      </c>
      <c r="B174" s="992" t="s">
        <v>638</v>
      </c>
      <c r="C174" s="1023"/>
      <c r="D174" s="820"/>
      <c r="E174" s="1474"/>
      <c r="F174" s="1023">
        <v>1</v>
      </c>
      <c r="G174" s="820">
        <v>12.26</v>
      </c>
      <c r="H174" s="1213">
        <f t="shared" si="30"/>
        <v>12.26</v>
      </c>
      <c r="I174" s="1606"/>
      <c r="J174" s="1606"/>
      <c r="K174" s="1182"/>
      <c r="L174" s="1033"/>
      <c r="M174" s="1034"/>
      <c r="N174" s="1034"/>
    </row>
    <row r="175" spans="1:14" s="785" customFormat="1" ht="20.65" customHeight="1" x14ac:dyDescent="0.2">
      <c r="A175" s="988" t="s">
        <v>2073</v>
      </c>
      <c r="B175" s="992" t="s">
        <v>638</v>
      </c>
      <c r="C175" s="1023"/>
      <c r="D175" s="820"/>
      <c r="E175" s="1474"/>
      <c r="F175" s="1023">
        <v>6</v>
      </c>
      <c r="G175" s="820">
        <v>7.29</v>
      </c>
      <c r="H175" s="1213">
        <f t="shared" si="30"/>
        <v>43.74</v>
      </c>
      <c r="I175" s="1606"/>
      <c r="J175" s="1606"/>
      <c r="K175" s="1182"/>
      <c r="L175" s="1033"/>
      <c r="M175" s="1034"/>
      <c r="N175" s="1034"/>
    </row>
    <row r="176" spans="1:14" s="785" customFormat="1" ht="20.65" customHeight="1" x14ac:dyDescent="0.2">
      <c r="A176" s="988" t="s">
        <v>2079</v>
      </c>
      <c r="B176" s="992" t="s">
        <v>437</v>
      </c>
      <c r="C176" s="1023"/>
      <c r="D176" s="820"/>
      <c r="E176" s="1474"/>
      <c r="F176" s="1023">
        <v>6</v>
      </c>
      <c r="G176" s="820">
        <v>653</v>
      </c>
      <c r="H176" s="1213">
        <f t="shared" si="30"/>
        <v>3918</v>
      </c>
      <c r="I176" s="1606"/>
      <c r="J176" s="1606"/>
      <c r="K176" s="1182"/>
      <c r="L176" s="1033"/>
      <c r="M176" s="1034"/>
      <c r="N176" s="1034"/>
    </row>
    <row r="177" spans="1:14" ht="20.65" customHeight="1" thickBot="1" x14ac:dyDescent="0.25">
      <c r="A177" s="986" t="s">
        <v>2075</v>
      </c>
      <c r="B177" s="992" t="s">
        <v>437</v>
      </c>
      <c r="C177" s="1487"/>
      <c r="D177" s="992"/>
      <c r="E177" s="1474">
        <f t="shared" ref="E177" si="31">C177*D177</f>
        <v>0</v>
      </c>
      <c r="F177" s="1023">
        <v>4</v>
      </c>
      <c r="G177" s="820">
        <v>1597.54</v>
      </c>
      <c r="H177" s="1213">
        <f t="shared" si="30"/>
        <v>6390.16</v>
      </c>
      <c r="I177" s="1606">
        <f t="shared" si="28"/>
        <v>24.45687201759932</v>
      </c>
      <c r="J177" s="1606"/>
      <c r="K177" s="1182" t="str">
        <f t="shared" si="26"/>
        <v>Producto: Yuca</v>
      </c>
      <c r="L177" s="1030"/>
      <c r="M177" s="1031"/>
      <c r="N177" s="1031"/>
    </row>
    <row r="178" spans="1:14" ht="20.65" customHeight="1" thickBot="1" x14ac:dyDescent="0.25">
      <c r="A178" s="1724" t="s">
        <v>2062</v>
      </c>
      <c r="B178" s="993" t="s">
        <v>638</v>
      </c>
      <c r="C178" s="990">
        <v>60</v>
      </c>
      <c r="D178" s="819">
        <v>8.9499999999999993</v>
      </c>
      <c r="E178" s="1474">
        <f t="shared" ref="E178:E189" si="32">C178*D178</f>
        <v>537</v>
      </c>
      <c r="F178" s="990">
        <v>20</v>
      </c>
      <c r="G178" s="820">
        <v>4.5</v>
      </c>
      <c r="H178" s="1213">
        <f t="shared" si="27"/>
        <v>90</v>
      </c>
      <c r="I178" s="1606">
        <f t="shared" si="28"/>
        <v>0.34445436132803231</v>
      </c>
      <c r="J178" s="1606"/>
      <c r="K178" s="1182" t="str">
        <f t="shared" si="26"/>
        <v>Producto: Yuca</v>
      </c>
      <c r="L178" s="1030"/>
      <c r="M178" s="1031"/>
      <c r="N178" s="1031"/>
    </row>
    <row r="179" spans="1:14" ht="20.65" customHeight="1" thickBot="1" x14ac:dyDescent="0.25">
      <c r="A179" s="1725" t="s">
        <v>2055</v>
      </c>
      <c r="B179" s="993" t="s">
        <v>2060</v>
      </c>
      <c r="C179" s="990">
        <v>3.74</v>
      </c>
      <c r="D179" s="819">
        <v>43</v>
      </c>
      <c r="E179" s="1474">
        <f t="shared" si="32"/>
        <v>160.82000000000002</v>
      </c>
      <c r="F179" s="990">
        <v>6</v>
      </c>
      <c r="G179" s="820">
        <v>35</v>
      </c>
      <c r="H179" s="1213">
        <f t="shared" si="27"/>
        <v>210</v>
      </c>
      <c r="I179" s="1606">
        <f t="shared" si="28"/>
        <v>0.80372684309874198</v>
      </c>
      <c r="J179" s="1606"/>
      <c r="K179" s="1182" t="str">
        <f t="shared" si="26"/>
        <v>Producto: Yuca</v>
      </c>
      <c r="L179" s="1030"/>
      <c r="M179" s="1031"/>
      <c r="N179" s="1031"/>
    </row>
    <row r="180" spans="1:14" ht="20.65" customHeight="1" thickBot="1" x14ac:dyDescent="0.25">
      <c r="A180" s="1725" t="s">
        <v>2059</v>
      </c>
      <c r="B180" s="993" t="s">
        <v>2060</v>
      </c>
      <c r="C180" s="990">
        <v>0.66</v>
      </c>
      <c r="D180" s="819">
        <v>8.9499999999999993</v>
      </c>
      <c r="E180" s="1474">
        <f t="shared" si="32"/>
        <v>5.907</v>
      </c>
      <c r="F180" s="990">
        <v>120</v>
      </c>
      <c r="G180" s="820">
        <v>35</v>
      </c>
      <c r="H180" s="1213">
        <f t="shared" si="27"/>
        <v>4200</v>
      </c>
      <c r="I180" s="1606">
        <f t="shared" si="28"/>
        <v>16.074536861974842</v>
      </c>
      <c r="J180" s="1606"/>
      <c r="K180" s="1182" t="str">
        <f t="shared" si="26"/>
        <v>Producto: Yuca</v>
      </c>
      <c r="L180" s="1030"/>
      <c r="M180" s="1031"/>
      <c r="N180" s="1031"/>
    </row>
    <row r="181" spans="1:14" ht="20.65" customHeight="1" thickBot="1" x14ac:dyDescent="0.25">
      <c r="A181" s="1726" t="s">
        <v>2063</v>
      </c>
      <c r="B181" s="993" t="s">
        <v>2060</v>
      </c>
      <c r="C181" s="990">
        <v>1.5</v>
      </c>
      <c r="D181" s="819">
        <v>43</v>
      </c>
      <c r="E181" s="1474">
        <f t="shared" si="32"/>
        <v>64.5</v>
      </c>
      <c r="F181" s="990">
        <v>14</v>
      </c>
      <c r="G181" s="820">
        <v>35</v>
      </c>
      <c r="H181" s="1213">
        <f t="shared" si="27"/>
        <v>490</v>
      </c>
      <c r="I181" s="1606">
        <f t="shared" si="28"/>
        <v>1.8753626338970648</v>
      </c>
      <c r="J181" s="1606"/>
      <c r="K181" s="1182" t="str">
        <f t="shared" si="26"/>
        <v>Producto: Yuca</v>
      </c>
      <c r="L181" s="1030"/>
      <c r="M181" s="1031"/>
      <c r="N181" s="1031"/>
    </row>
    <row r="182" spans="1:14" ht="20.65" customHeight="1" thickBot="1" x14ac:dyDescent="0.25">
      <c r="A182" s="1725" t="s">
        <v>2064</v>
      </c>
      <c r="B182" s="993" t="s">
        <v>2061</v>
      </c>
      <c r="C182" s="990">
        <v>1.5</v>
      </c>
      <c r="D182" s="819">
        <v>19</v>
      </c>
      <c r="E182" s="1474">
        <f t="shared" si="32"/>
        <v>28.5</v>
      </c>
      <c r="F182" s="990">
        <v>60</v>
      </c>
      <c r="G182" s="820">
        <v>12</v>
      </c>
      <c r="H182" s="1213">
        <f t="shared" si="27"/>
        <v>720</v>
      </c>
      <c r="I182" s="1606">
        <f t="shared" si="28"/>
        <v>2.7556348906242585</v>
      </c>
      <c r="J182" s="1606"/>
      <c r="K182" s="1182" t="str">
        <f t="shared" si="26"/>
        <v>Producto: Yuca</v>
      </c>
      <c r="L182" s="1030"/>
      <c r="M182" s="1031"/>
      <c r="N182" s="1031"/>
    </row>
    <row r="183" spans="1:14" ht="20.65" customHeight="1" x14ac:dyDescent="0.2">
      <c r="A183" s="1240" t="s">
        <v>2065</v>
      </c>
      <c r="B183" s="992"/>
      <c r="C183" s="1487"/>
      <c r="D183" s="992"/>
      <c r="E183" s="1474">
        <f t="shared" si="32"/>
        <v>0</v>
      </c>
      <c r="F183" s="1023"/>
      <c r="G183" s="820"/>
      <c r="H183" s="1730">
        <f>H178+H179+H180+H181+H182</f>
        <v>5710</v>
      </c>
      <c r="I183" s="1606">
        <f t="shared" si="28"/>
        <v>21.853715590922938</v>
      </c>
      <c r="J183" s="1606"/>
      <c r="K183" s="1182" t="str">
        <f t="shared" si="26"/>
        <v>Producto: Yuca</v>
      </c>
      <c r="L183" s="1030"/>
      <c r="M183" s="1031"/>
      <c r="N183" s="1031"/>
    </row>
    <row r="184" spans="1:14" ht="20.65" customHeight="1" x14ac:dyDescent="0.2">
      <c r="A184" s="988" t="s">
        <v>2054</v>
      </c>
      <c r="B184" s="989"/>
      <c r="C184" s="1483"/>
      <c r="D184" s="989"/>
      <c r="E184" s="1474">
        <f t="shared" si="32"/>
        <v>0</v>
      </c>
      <c r="F184" s="990">
        <v>260</v>
      </c>
      <c r="G184" s="1208">
        <v>30</v>
      </c>
      <c r="H184" s="1213">
        <f>F184*G184</f>
        <v>7800</v>
      </c>
      <c r="I184" s="1606">
        <f t="shared" si="28"/>
        <v>29.852711315096133</v>
      </c>
      <c r="J184" s="1606"/>
      <c r="K184" s="1182" t="str">
        <f t="shared" si="26"/>
        <v>Producto: Yuca</v>
      </c>
      <c r="L184" s="1030"/>
      <c r="M184" s="1031"/>
      <c r="N184" s="1031"/>
    </row>
    <row r="185" spans="1:14" s="184" customFormat="1" ht="20.65" customHeight="1" x14ac:dyDescent="0.25">
      <c r="A185" s="843" t="s">
        <v>1477</v>
      </c>
      <c r="B185" s="842"/>
      <c r="C185" s="1486"/>
      <c r="D185" s="842"/>
      <c r="E185" s="1471">
        <f>SUM(E171:E184)</f>
        <v>4164.7270000000008</v>
      </c>
      <c r="F185" s="1215"/>
      <c r="G185" s="1215"/>
      <c r="H185" s="1215">
        <f>H183+H184</f>
        <v>13510</v>
      </c>
      <c r="I185" s="1606">
        <f t="shared" si="28"/>
        <v>51.706426906019068</v>
      </c>
      <c r="J185" s="1606"/>
      <c r="K185" s="1548" t="str">
        <f t="shared" si="26"/>
        <v>Producto: Yuca</v>
      </c>
      <c r="L185" s="1035"/>
      <c r="M185" s="1036"/>
      <c r="N185" s="1036"/>
    </row>
    <row r="186" spans="1:14" ht="20.65" customHeight="1" x14ac:dyDescent="0.2">
      <c r="A186" s="986" t="s">
        <v>933</v>
      </c>
      <c r="B186" s="992"/>
      <c r="C186" s="1487"/>
      <c r="D186" s="992"/>
      <c r="E186" s="1474">
        <f t="shared" si="32"/>
        <v>0</v>
      </c>
      <c r="F186" s="1023"/>
      <c r="G186" s="820"/>
      <c r="H186" s="1213"/>
      <c r="I186" s="1606">
        <f t="shared" si="28"/>
        <v>0</v>
      </c>
      <c r="J186" s="1606"/>
      <c r="K186" s="1182" t="str">
        <f t="shared" si="26"/>
        <v>Producto: Yuca</v>
      </c>
      <c r="L186" s="1030"/>
      <c r="M186" s="1031"/>
      <c r="N186" s="1031"/>
    </row>
    <row r="187" spans="1:14" ht="20.65" customHeight="1" x14ac:dyDescent="0.2">
      <c r="A187" s="986" t="s">
        <v>283</v>
      </c>
      <c r="B187" s="992" t="s">
        <v>934</v>
      </c>
      <c r="C187" s="1023">
        <v>5.4</v>
      </c>
      <c r="D187" s="820">
        <v>18</v>
      </c>
      <c r="E187" s="1474">
        <f t="shared" si="32"/>
        <v>97.2</v>
      </c>
      <c r="F187" s="1023">
        <v>5.2</v>
      </c>
      <c r="G187" s="820">
        <f>'Otros insumos'!C$19</f>
        <v>86.4</v>
      </c>
      <c r="H187" s="1213">
        <f>F187*G187</f>
        <v>449.28000000000003</v>
      </c>
      <c r="I187" s="1606">
        <f t="shared" si="28"/>
        <v>1.7195161717495373</v>
      </c>
      <c r="J187" s="1606"/>
      <c r="K187" s="1182" t="str">
        <f t="shared" si="26"/>
        <v>Producto: Yuca</v>
      </c>
      <c r="L187" s="1030"/>
      <c r="M187" s="1031" t="e">
        <f>#REF!</f>
        <v>#REF!</v>
      </c>
      <c r="N187" s="1031"/>
    </row>
    <row r="188" spans="1:14" s="1019" customFormat="1" ht="20.65" customHeight="1" x14ac:dyDescent="0.2">
      <c r="A188" s="1016" t="s">
        <v>234</v>
      </c>
      <c r="B188" s="1017" t="s">
        <v>638</v>
      </c>
      <c r="C188" s="1024">
        <v>259.45</v>
      </c>
      <c r="D188" s="1018">
        <v>2</v>
      </c>
      <c r="E188" s="1695">
        <f t="shared" si="32"/>
        <v>518.9</v>
      </c>
      <c r="F188" s="1024">
        <v>210</v>
      </c>
      <c r="G188" s="1018">
        <v>13.9</v>
      </c>
      <c r="H188" s="1216">
        <f>F188*G188</f>
        <v>2919</v>
      </c>
      <c r="I188" s="1693">
        <f t="shared" si="28"/>
        <v>11.171803119072514</v>
      </c>
      <c r="J188" s="1693"/>
      <c r="K188" s="1579" t="str">
        <f t="shared" si="26"/>
        <v>Producto: Yuca</v>
      </c>
      <c r="L188" s="1580">
        <v>24.75</v>
      </c>
      <c r="M188" s="1581">
        <f>F188*L188</f>
        <v>5197.5</v>
      </c>
      <c r="N188" s="1581"/>
    </row>
    <row r="189" spans="1:14" s="1019" customFormat="1" ht="20.65" customHeight="1" x14ac:dyDescent="0.2">
      <c r="A189" s="1694" t="s">
        <v>935</v>
      </c>
      <c r="B189" s="1017" t="s">
        <v>936</v>
      </c>
      <c r="C189" s="1024">
        <v>1166</v>
      </c>
      <c r="D189" s="1018">
        <v>0.17</v>
      </c>
      <c r="E189" s="1695">
        <f t="shared" si="32"/>
        <v>198.22000000000003</v>
      </c>
      <c r="F189" s="1024">
        <v>5000</v>
      </c>
      <c r="G189" s="1018">
        <f>'Otros insumos'!F32</f>
        <v>1.85</v>
      </c>
      <c r="H189" s="1216">
        <f>F189*G189</f>
        <v>9250</v>
      </c>
      <c r="I189" s="1693">
        <f t="shared" si="28"/>
        <v>35.402253803158878</v>
      </c>
      <c r="J189" s="1693"/>
      <c r="K189" s="1579" t="str">
        <f t="shared" si="26"/>
        <v>Producto: Yuca</v>
      </c>
      <c r="L189" s="1580"/>
      <c r="M189" s="1581" t="e">
        <f>#REF!</f>
        <v>#REF!</v>
      </c>
      <c r="N189" s="1581"/>
    </row>
    <row r="190" spans="1:14" s="184" customFormat="1" ht="20.65" customHeight="1" x14ac:dyDescent="0.25">
      <c r="A190" s="844" t="s">
        <v>1476</v>
      </c>
      <c r="B190" s="842"/>
      <c r="C190" s="1486"/>
      <c r="D190" s="842"/>
      <c r="E190" s="1472">
        <f>E187+E188+E189</f>
        <v>814.32</v>
      </c>
      <c r="F190" s="1217"/>
      <c r="G190" s="1217"/>
      <c r="H190" s="1217">
        <f>H187+H188+H189</f>
        <v>12618.28</v>
      </c>
      <c r="I190" s="1606">
        <f t="shared" si="28"/>
        <v>48.293573093980932</v>
      </c>
      <c r="J190" s="1606"/>
      <c r="K190" s="1548" t="str">
        <f t="shared" si="26"/>
        <v>Producto: Yuca</v>
      </c>
      <c r="L190" s="1035"/>
      <c r="M190" s="1036" t="e">
        <f>SUM(M187:M189)</f>
        <v>#REF!</v>
      </c>
      <c r="N190" s="1036"/>
    </row>
    <row r="191" spans="1:14" ht="20.65" customHeight="1" thickBot="1" x14ac:dyDescent="0.3">
      <c r="A191" s="1311" t="s">
        <v>962</v>
      </c>
      <c r="B191" s="1312"/>
      <c r="C191" s="1488"/>
      <c r="D191" s="1312"/>
      <c r="E191" s="1473">
        <f>E185+E190</f>
        <v>4979.0470000000005</v>
      </c>
      <c r="F191" s="1218">
        <f>F185+F190</f>
        <v>0</v>
      </c>
      <c r="G191" s="1218">
        <f>G185+G190</f>
        <v>0</v>
      </c>
      <c r="H191" s="1218">
        <f>H185+H190</f>
        <v>26128.28</v>
      </c>
      <c r="I191" s="1606">
        <f t="shared" si="28"/>
        <v>99.999999999999986</v>
      </c>
      <c r="J191" s="1606"/>
      <c r="K191" s="1182" t="str">
        <f t="shared" si="26"/>
        <v>Producto: Yuca</v>
      </c>
      <c r="L191" s="1030"/>
      <c r="M191" s="1031"/>
      <c r="N191" s="1031"/>
    </row>
    <row r="192" spans="1:14" ht="20.65" customHeight="1" x14ac:dyDescent="0.2">
      <c r="A192" s="1798" t="s">
        <v>232</v>
      </c>
      <c r="B192" s="1799"/>
      <c r="C192" s="1799"/>
      <c r="D192" s="1799"/>
      <c r="E192" s="1799"/>
      <c r="F192" s="1799"/>
      <c r="G192" s="1799"/>
      <c r="H192" s="1810" t="s">
        <v>230</v>
      </c>
      <c r="I192" s="1004"/>
      <c r="J192" s="1004"/>
      <c r="K192" s="1182" t="str">
        <f t="shared" si="26"/>
        <v>Producto: Yuca</v>
      </c>
      <c r="L192" s="1030"/>
      <c r="M192" s="1031"/>
      <c r="N192" s="1031"/>
    </row>
    <row r="193" spans="1:14" ht="20.65" customHeight="1" thickBot="1" x14ac:dyDescent="0.25">
      <c r="A193" s="1820"/>
      <c r="B193" s="1821"/>
      <c r="C193" s="1821"/>
      <c r="D193" s="1821"/>
      <c r="E193" s="1821"/>
      <c r="F193" s="1821"/>
      <c r="G193" s="1821"/>
      <c r="H193" s="1801"/>
      <c r="I193" s="1004"/>
      <c r="J193" s="1004"/>
      <c r="K193" s="1182" t="str">
        <f t="shared" si="26"/>
        <v>Producto: Yuca</v>
      </c>
      <c r="L193" s="1030"/>
      <c r="M193" s="1031"/>
      <c r="N193" s="1031"/>
    </row>
    <row r="194" spans="1:14" ht="20.65" customHeight="1" x14ac:dyDescent="0.2">
      <c r="A194" s="1798" t="s">
        <v>969</v>
      </c>
      <c r="B194" s="1799"/>
      <c r="C194" s="1799"/>
      <c r="D194" s="1799"/>
      <c r="E194" s="1799"/>
      <c r="F194" s="1799"/>
      <c r="G194" s="1799"/>
      <c r="H194" s="1800">
        <f ca="1">TODAY()</f>
        <v>45398</v>
      </c>
      <c r="I194" s="1609"/>
      <c r="J194" s="1609"/>
      <c r="K194" s="1182" t="str">
        <f t="shared" si="26"/>
        <v>Producto: Yuca</v>
      </c>
      <c r="L194" s="1030"/>
      <c r="M194" s="1031"/>
      <c r="N194" s="1031"/>
    </row>
    <row r="195" spans="1:14" ht="20.65" customHeight="1" thickBot="1" x14ac:dyDescent="0.25">
      <c r="A195" s="1822"/>
      <c r="B195" s="1823"/>
      <c r="C195" s="1823"/>
      <c r="D195" s="1823"/>
      <c r="E195" s="1823"/>
      <c r="F195" s="1823"/>
      <c r="G195" s="1823"/>
      <c r="H195" s="1801"/>
      <c r="I195" s="1004"/>
      <c r="J195" s="1004"/>
      <c r="K195" s="1182" t="str">
        <f t="shared" si="26"/>
        <v>Producto: Yuca</v>
      </c>
      <c r="L195" s="1030"/>
      <c r="M195" s="1031"/>
      <c r="N195" s="1031"/>
    </row>
    <row r="196" spans="1:14" s="845" customFormat="1" ht="20.65" customHeight="1" x14ac:dyDescent="0.25">
      <c r="A196" s="1807" t="s">
        <v>2093</v>
      </c>
      <c r="B196" s="1808"/>
      <c r="C196" s="1808"/>
      <c r="D196" s="1808"/>
      <c r="E196" s="1808"/>
      <c r="F196" s="1808"/>
      <c r="G196" s="1808"/>
      <c r="H196" s="1809"/>
      <c r="I196" s="1607"/>
      <c r="J196" s="1607"/>
      <c r="K196" s="1548" t="str">
        <f t="shared" ref="K196:K223" si="33">A$198</f>
        <v>Producto: Plátano fruta</v>
      </c>
      <c r="L196" s="1028"/>
      <c r="M196" s="1029"/>
      <c r="N196" s="1029"/>
    </row>
    <row r="197" spans="1:14" s="845" customFormat="1" ht="20.65" customHeight="1" x14ac:dyDescent="0.25">
      <c r="A197" s="1824" t="s">
        <v>925</v>
      </c>
      <c r="B197" s="1825"/>
      <c r="C197" s="1825"/>
      <c r="D197" s="1825"/>
      <c r="E197" s="1825"/>
      <c r="F197" s="1825"/>
      <c r="G197" s="1825"/>
      <c r="H197" s="1826"/>
      <c r="I197" s="1599"/>
      <c r="J197" s="1599"/>
      <c r="K197" s="1548" t="str">
        <f t="shared" si="33"/>
        <v>Producto: Plátano fruta</v>
      </c>
      <c r="L197" s="1028"/>
      <c r="M197" s="1029"/>
      <c r="N197" s="1029"/>
    </row>
    <row r="198" spans="1:14" ht="20.65" customHeight="1" thickBot="1" x14ac:dyDescent="0.25">
      <c r="A198" s="982" t="s">
        <v>1373</v>
      </c>
      <c r="B198" s="980"/>
      <c r="C198" s="1021"/>
      <c r="D198" s="980"/>
      <c r="E198" s="1468"/>
      <c r="F198" s="1021"/>
      <c r="G198" s="980"/>
      <c r="H198" s="1219"/>
      <c r="I198" s="1608"/>
      <c r="J198" s="1608"/>
      <c r="K198" s="1182" t="str">
        <f t="shared" si="33"/>
        <v>Producto: Plátano fruta</v>
      </c>
      <c r="L198" s="1030"/>
      <c r="M198" s="1031"/>
      <c r="N198" s="1031"/>
    </row>
    <row r="199" spans="1:14" ht="20.65" customHeight="1" x14ac:dyDescent="0.2">
      <c r="A199" s="1802" t="s">
        <v>1378</v>
      </c>
      <c r="B199" s="1805" t="s">
        <v>226</v>
      </c>
      <c r="C199" s="1817" t="s">
        <v>1379</v>
      </c>
      <c r="D199" s="1814" t="s">
        <v>1963</v>
      </c>
      <c r="E199" s="1811" t="s">
        <v>1964</v>
      </c>
      <c r="F199" s="1817" t="s">
        <v>1962</v>
      </c>
      <c r="G199" s="1814" t="s">
        <v>1965</v>
      </c>
      <c r="H199" s="1811" t="s">
        <v>1966</v>
      </c>
      <c r="I199" s="1603"/>
      <c r="J199" s="1603"/>
      <c r="K199" s="1182" t="str">
        <f t="shared" si="33"/>
        <v>Producto: Plátano fruta</v>
      </c>
      <c r="L199" s="1797" t="e">
        <f>#REF!/21.74</f>
        <v>#REF!</v>
      </c>
      <c r="M199" s="1797"/>
      <c r="N199" s="1797"/>
    </row>
    <row r="200" spans="1:14" ht="20.65" customHeight="1" x14ac:dyDescent="0.2">
      <c r="A200" s="1803"/>
      <c r="B200" s="1751"/>
      <c r="C200" s="1818"/>
      <c r="D200" s="1815"/>
      <c r="E200" s="1827"/>
      <c r="F200" s="1818"/>
      <c r="G200" s="1815"/>
      <c r="H200" s="1812"/>
      <c r="I200" s="1604"/>
      <c r="J200" s="1604"/>
      <c r="K200" s="1182" t="str">
        <f t="shared" si="33"/>
        <v>Producto: Plátano fruta</v>
      </c>
      <c r="L200" s="1030"/>
      <c r="M200" s="1031"/>
      <c r="N200" s="1031"/>
    </row>
    <row r="201" spans="1:14" ht="20.65" customHeight="1" thickBot="1" x14ac:dyDescent="0.25">
      <c r="A201" s="1804"/>
      <c r="B201" s="1806"/>
      <c r="C201" s="1819"/>
      <c r="D201" s="1816"/>
      <c r="E201" s="1828"/>
      <c r="F201" s="1819"/>
      <c r="G201" s="1816"/>
      <c r="H201" s="1813"/>
      <c r="I201" s="1604"/>
      <c r="J201" s="1604"/>
      <c r="K201" s="1182" t="str">
        <f t="shared" si="33"/>
        <v>Producto: Plátano fruta</v>
      </c>
      <c r="L201" s="1030"/>
      <c r="M201" s="1031"/>
      <c r="N201" s="1031"/>
    </row>
    <row r="202" spans="1:14" ht="20.65" customHeight="1" x14ac:dyDescent="0.2">
      <c r="A202" s="983">
        <v>1</v>
      </c>
      <c r="B202" s="984">
        <v>2</v>
      </c>
      <c r="C202" s="1482"/>
      <c r="D202" s="984"/>
      <c r="E202" s="1469"/>
      <c r="F202" s="985">
        <v>3</v>
      </c>
      <c r="G202" s="985">
        <v>4</v>
      </c>
      <c r="H202" s="1212">
        <v>6</v>
      </c>
      <c r="I202" s="1605"/>
      <c r="J202" s="1605"/>
      <c r="K202" s="1182" t="str">
        <f t="shared" si="33"/>
        <v>Producto: Plátano fruta</v>
      </c>
      <c r="L202" s="1014"/>
      <c r="M202" s="1032"/>
      <c r="N202" s="1032"/>
    </row>
    <row r="203" spans="1:14" ht="20.65" customHeight="1" x14ac:dyDescent="0.2">
      <c r="A203" s="1464" t="s">
        <v>295</v>
      </c>
      <c r="B203" s="1461" t="s">
        <v>949</v>
      </c>
      <c r="C203" s="1465">
        <v>2200</v>
      </c>
      <c r="D203" s="818">
        <v>1.2</v>
      </c>
      <c r="E203" s="1475">
        <f>C203*D203</f>
        <v>2640</v>
      </c>
      <c r="F203" s="1462"/>
      <c r="G203" s="1462"/>
      <c r="H203" s="1463"/>
      <c r="I203" s="1605">
        <f t="shared" ref="I203:I219" si="34">H203/H$219%</f>
        <v>0</v>
      </c>
      <c r="J203" s="1605"/>
      <c r="K203" s="1182" t="str">
        <f t="shared" si="33"/>
        <v>Producto: Plátano fruta</v>
      </c>
      <c r="L203" s="1014"/>
      <c r="M203" s="1032"/>
      <c r="N203" s="1032"/>
    </row>
    <row r="204" spans="1:14" ht="20.65" customHeight="1" x14ac:dyDescent="0.2">
      <c r="A204" s="994" t="s">
        <v>2071</v>
      </c>
      <c r="B204" s="992"/>
      <c r="C204" s="1023">
        <v>1.19</v>
      </c>
      <c r="D204" s="820">
        <v>1500</v>
      </c>
      <c r="E204" s="1475">
        <f t="shared" ref="E204:E211" si="35">C204*D204</f>
        <v>1785</v>
      </c>
      <c r="F204" s="1023"/>
      <c r="G204" s="820"/>
      <c r="H204" s="1220">
        <f>H205+H206</f>
        <v>6000</v>
      </c>
      <c r="I204" s="1605">
        <f t="shared" si="34"/>
        <v>34.808841445727211</v>
      </c>
      <c r="J204" s="1605"/>
      <c r="K204" s="1182" t="str">
        <f t="shared" si="33"/>
        <v>Producto: Plátano fruta</v>
      </c>
      <c r="L204" s="1030"/>
      <c r="M204" s="1031"/>
      <c r="N204" s="1031"/>
    </row>
    <row r="205" spans="1:14" ht="20.65" customHeight="1" x14ac:dyDescent="0.2">
      <c r="A205" s="994" t="s">
        <v>2079</v>
      </c>
      <c r="B205" s="992" t="s">
        <v>437</v>
      </c>
      <c r="C205" s="1023">
        <v>1.19</v>
      </c>
      <c r="D205" s="820">
        <v>1500</v>
      </c>
      <c r="E205" s="1475">
        <f t="shared" si="35"/>
        <v>1785</v>
      </c>
      <c r="F205" s="1023">
        <v>8</v>
      </c>
      <c r="G205" s="820">
        <v>450</v>
      </c>
      <c r="H205" s="1220">
        <f t="shared" ref="H205:H210" si="36">F205*G205</f>
        <v>3600</v>
      </c>
      <c r="I205" s="1605">
        <f t="shared" si="34"/>
        <v>20.885304867436329</v>
      </c>
      <c r="J205" s="1605"/>
      <c r="K205" s="1182" t="str">
        <f t="shared" si="33"/>
        <v>Producto: Plátano fruta</v>
      </c>
      <c r="L205" s="1030"/>
      <c r="M205" s="1031"/>
      <c r="N205" s="1031"/>
    </row>
    <row r="206" spans="1:14" s="1019" customFormat="1" ht="20.65" customHeight="1" thickBot="1" x14ac:dyDescent="0.25">
      <c r="A206" s="1577" t="s">
        <v>2075</v>
      </c>
      <c r="B206" s="1017" t="s">
        <v>638</v>
      </c>
      <c r="C206" s="1024"/>
      <c r="D206" s="1018"/>
      <c r="E206" s="1578"/>
      <c r="F206" s="1024">
        <v>4</v>
      </c>
      <c r="G206" s="1018">
        <v>600</v>
      </c>
      <c r="H206" s="1220">
        <f t="shared" si="36"/>
        <v>2400</v>
      </c>
      <c r="I206" s="1605">
        <f t="shared" si="34"/>
        <v>13.923536578290886</v>
      </c>
      <c r="J206" s="1605"/>
      <c r="K206" s="1579"/>
      <c r="L206" s="1580"/>
      <c r="M206" s="1581"/>
      <c r="N206" s="1581"/>
    </row>
    <row r="207" spans="1:14" ht="20.65" customHeight="1" thickBot="1" x14ac:dyDescent="0.25">
      <c r="A207" s="1724" t="s">
        <v>1959</v>
      </c>
      <c r="B207" s="992" t="s">
        <v>638</v>
      </c>
      <c r="C207" s="1023">
        <v>4</v>
      </c>
      <c r="D207" s="820">
        <v>30</v>
      </c>
      <c r="E207" s="1475">
        <f t="shared" si="35"/>
        <v>120</v>
      </c>
      <c r="F207" s="1023">
        <v>8</v>
      </c>
      <c r="G207" s="820">
        <v>32</v>
      </c>
      <c r="H207" s="1220">
        <f t="shared" si="36"/>
        <v>256</v>
      </c>
      <c r="I207" s="1605">
        <f t="shared" si="34"/>
        <v>1.4851772350176944</v>
      </c>
      <c r="J207" s="1605"/>
      <c r="K207" s="1182" t="str">
        <f t="shared" si="33"/>
        <v>Producto: Plátano fruta</v>
      </c>
      <c r="L207" s="1030"/>
      <c r="M207" s="1031"/>
      <c r="N207" s="1031"/>
    </row>
    <row r="208" spans="1:14" ht="20.65" customHeight="1" thickBot="1" x14ac:dyDescent="0.25">
      <c r="A208" s="1725" t="s">
        <v>2066</v>
      </c>
      <c r="B208" s="992" t="s">
        <v>638</v>
      </c>
      <c r="C208" s="1023">
        <v>8</v>
      </c>
      <c r="D208" s="820">
        <v>30</v>
      </c>
      <c r="E208" s="1475">
        <f t="shared" si="35"/>
        <v>240</v>
      </c>
      <c r="F208" s="1023">
        <v>2</v>
      </c>
      <c r="G208" s="820">
        <v>32</v>
      </c>
      <c r="H208" s="1220">
        <f t="shared" si="36"/>
        <v>64</v>
      </c>
      <c r="I208" s="1605">
        <f t="shared" si="34"/>
        <v>0.3712943087544236</v>
      </c>
      <c r="J208" s="1605"/>
      <c r="K208" s="1182" t="str">
        <f t="shared" si="33"/>
        <v>Producto: Plátano fruta</v>
      </c>
      <c r="L208" s="1030"/>
      <c r="M208" s="1031"/>
      <c r="N208" s="1031"/>
    </row>
    <row r="209" spans="1:14" ht="20.65" customHeight="1" thickBot="1" x14ac:dyDescent="0.25">
      <c r="A209" s="1725" t="s">
        <v>2066</v>
      </c>
      <c r="B209" s="992" t="s">
        <v>292</v>
      </c>
      <c r="C209" s="1023">
        <v>5</v>
      </c>
      <c r="D209" s="820">
        <v>10</v>
      </c>
      <c r="E209" s="1475">
        <f t="shared" si="35"/>
        <v>50</v>
      </c>
      <c r="F209" s="1023">
        <v>6</v>
      </c>
      <c r="G209" s="820">
        <v>32</v>
      </c>
      <c r="H209" s="1220">
        <f t="shared" si="36"/>
        <v>192</v>
      </c>
      <c r="I209" s="1605">
        <f t="shared" si="34"/>
        <v>1.1138829262632708</v>
      </c>
      <c r="J209" s="1605"/>
      <c r="K209" s="1182" t="str">
        <f t="shared" si="33"/>
        <v>Producto: Plátano fruta</v>
      </c>
      <c r="L209" s="1030"/>
      <c r="M209" s="1031"/>
      <c r="N209" s="1031"/>
    </row>
    <row r="210" spans="1:14" ht="20.65" customHeight="1" thickBot="1" x14ac:dyDescent="0.25">
      <c r="A210" s="1725" t="s">
        <v>2069</v>
      </c>
      <c r="B210" s="992" t="s">
        <v>2061</v>
      </c>
      <c r="C210" s="1023">
        <v>8</v>
      </c>
      <c r="D210" s="820">
        <v>15</v>
      </c>
      <c r="E210" s="1475">
        <f t="shared" si="35"/>
        <v>120</v>
      </c>
      <c r="F210" s="1023">
        <v>80</v>
      </c>
      <c r="G210" s="820">
        <v>12</v>
      </c>
      <c r="H210" s="1220">
        <f t="shared" si="36"/>
        <v>960</v>
      </c>
      <c r="I210" s="1605">
        <f t="shared" si="34"/>
        <v>5.5694146313163539</v>
      </c>
      <c r="J210" s="1605"/>
      <c r="K210" s="1182" t="str">
        <f t="shared" si="33"/>
        <v>Producto: Plátano fruta</v>
      </c>
      <c r="L210" s="1030"/>
      <c r="M210" s="1031"/>
      <c r="N210" s="1031"/>
    </row>
    <row r="211" spans="1:14" ht="20.65" customHeight="1" x14ac:dyDescent="0.2">
      <c r="A211" s="1240" t="s">
        <v>2070</v>
      </c>
      <c r="B211" s="992"/>
      <c r="C211" s="1487"/>
      <c r="D211" s="992"/>
      <c r="E211" s="1475">
        <f t="shared" si="35"/>
        <v>0</v>
      </c>
      <c r="F211" s="1023"/>
      <c r="G211" s="820"/>
      <c r="H211" s="1220">
        <f>H207+H208+H209+H210</f>
        <v>1472</v>
      </c>
      <c r="I211" s="1605">
        <f t="shared" si="34"/>
        <v>8.5397691013517427</v>
      </c>
      <c r="J211" s="1605"/>
      <c r="K211" s="1182" t="str">
        <f t="shared" si="33"/>
        <v>Producto: Plátano fruta</v>
      </c>
      <c r="L211" s="1030"/>
      <c r="M211" s="1031"/>
      <c r="N211" s="1031"/>
    </row>
    <row r="212" spans="1:14" ht="20.65" customHeight="1" x14ac:dyDescent="0.2">
      <c r="A212" s="991" t="s">
        <v>952</v>
      </c>
      <c r="B212" s="992"/>
      <c r="C212" s="1487"/>
      <c r="D212" s="992"/>
      <c r="E212" s="1476">
        <v>210</v>
      </c>
      <c r="F212" s="1023"/>
      <c r="G212" s="1208"/>
      <c r="H212" s="1213"/>
      <c r="I212" s="1605">
        <f t="shared" si="34"/>
        <v>0</v>
      </c>
      <c r="J212" s="1605"/>
      <c r="K212" s="1182" t="str">
        <f t="shared" si="33"/>
        <v>Producto: Plátano fruta</v>
      </c>
      <c r="L212" s="1030"/>
      <c r="M212" s="1031"/>
      <c r="N212" s="1031"/>
    </row>
    <row r="213" spans="1:14" s="184" customFormat="1" ht="20.65" customHeight="1" x14ac:dyDescent="0.25">
      <c r="A213" s="843" t="s">
        <v>1477</v>
      </c>
      <c r="B213" s="846"/>
      <c r="C213" s="1490"/>
      <c r="D213" s="846"/>
      <c r="E213" s="1472">
        <f>SUM(E204:E211)</f>
        <v>4100</v>
      </c>
      <c r="F213" s="1217"/>
      <c r="G213" s="1217"/>
      <c r="H213" s="1217">
        <f>H204+H211</f>
        <v>7472</v>
      </c>
      <c r="I213" s="1605">
        <f t="shared" si="34"/>
        <v>43.348610547078955</v>
      </c>
      <c r="J213" s="1605"/>
      <c r="K213" s="1548" t="str">
        <f t="shared" si="33"/>
        <v>Producto: Plátano fruta</v>
      </c>
      <c r="L213" s="1035"/>
      <c r="M213" s="1036"/>
      <c r="N213" s="1036"/>
    </row>
    <row r="214" spans="1:14" ht="20.65" customHeight="1" x14ac:dyDescent="0.2">
      <c r="A214" s="994" t="s">
        <v>933</v>
      </c>
      <c r="B214" s="995"/>
      <c r="C214" s="1025"/>
      <c r="D214" s="995"/>
      <c r="E214" s="1474"/>
      <c r="F214" s="1025"/>
      <c r="G214" s="995"/>
      <c r="H214" s="1220"/>
      <c r="I214" s="1605">
        <f t="shared" si="34"/>
        <v>0</v>
      </c>
      <c r="J214" s="1605"/>
      <c r="K214" s="1182" t="str">
        <f t="shared" si="33"/>
        <v>Producto: Plátano fruta</v>
      </c>
      <c r="L214" s="1030"/>
      <c r="M214" s="1031"/>
      <c r="N214" s="1031"/>
    </row>
    <row r="215" spans="1:14" ht="20.65" customHeight="1" x14ac:dyDescent="0.2">
      <c r="A215" s="994" t="s">
        <v>283</v>
      </c>
      <c r="B215" s="992" t="s">
        <v>934</v>
      </c>
      <c r="C215" s="1023">
        <v>8.4</v>
      </c>
      <c r="D215" s="820">
        <v>18</v>
      </c>
      <c r="E215" s="1476">
        <f>C215*D215</f>
        <v>151.20000000000002</v>
      </c>
      <c r="F215" s="1023">
        <v>15</v>
      </c>
      <c r="G215" s="820">
        <f>'Otros insumos'!C$19</f>
        <v>86.4</v>
      </c>
      <c r="H215" s="1220">
        <f>F215*G215</f>
        <v>1296</v>
      </c>
      <c r="I215" s="1605">
        <f t="shared" si="34"/>
        <v>7.5187097522770783</v>
      </c>
      <c r="J215" s="1605"/>
      <c r="K215" s="1182" t="str">
        <f t="shared" si="33"/>
        <v>Producto: Plátano fruta</v>
      </c>
      <c r="L215" s="1030"/>
      <c r="M215" s="1031"/>
      <c r="N215" s="1031"/>
    </row>
    <row r="216" spans="1:14" s="1019" customFormat="1" ht="20.65" customHeight="1" x14ac:dyDescent="0.2">
      <c r="A216" s="1020" t="s">
        <v>234</v>
      </c>
      <c r="B216" s="1017" t="s">
        <v>638</v>
      </c>
      <c r="C216" s="1024">
        <v>395.92</v>
      </c>
      <c r="D216" s="1018">
        <v>2</v>
      </c>
      <c r="E216" s="1696">
        <f>C216*D216</f>
        <v>791.84</v>
      </c>
      <c r="F216" s="1024">
        <v>210</v>
      </c>
      <c r="G216" s="1018">
        <v>13.9</v>
      </c>
      <c r="H216" s="1221">
        <f>F216*G216</f>
        <v>2919</v>
      </c>
      <c r="I216" s="1579">
        <f t="shared" si="34"/>
        <v>16.934501363346289</v>
      </c>
      <c r="J216" s="1579"/>
      <c r="K216" s="1579" t="str">
        <f t="shared" si="33"/>
        <v>Producto: Plátano fruta</v>
      </c>
      <c r="L216" s="1580"/>
      <c r="M216" s="1581"/>
      <c r="N216" s="1581"/>
    </row>
    <row r="217" spans="1:14" s="1019" customFormat="1" ht="20.65" customHeight="1" x14ac:dyDescent="0.2">
      <c r="A217" s="1020" t="s">
        <v>935</v>
      </c>
      <c r="B217" s="1017" t="s">
        <v>936</v>
      </c>
      <c r="C217" s="1024">
        <v>3074</v>
      </c>
      <c r="D217" s="1018">
        <v>0.17</v>
      </c>
      <c r="E217" s="1696">
        <f>C217*D217</f>
        <v>522.58000000000004</v>
      </c>
      <c r="F217" s="1024">
        <v>3000</v>
      </c>
      <c r="G217" s="1018">
        <f>'Otros insumos'!F32</f>
        <v>1.85</v>
      </c>
      <c r="H217" s="1221">
        <f>F217*G217</f>
        <v>5550</v>
      </c>
      <c r="I217" s="1579">
        <f t="shared" si="34"/>
        <v>32.198178337297669</v>
      </c>
      <c r="J217" s="1579"/>
      <c r="K217" s="1579" t="str">
        <f t="shared" si="33"/>
        <v>Producto: Plátano fruta</v>
      </c>
      <c r="L217" s="1580"/>
      <c r="M217" s="1581"/>
      <c r="N217" s="1581"/>
    </row>
    <row r="218" spans="1:14" s="184" customFormat="1" ht="20.65" customHeight="1" x14ac:dyDescent="0.25">
      <c r="A218" s="844" t="s">
        <v>1476</v>
      </c>
      <c r="B218" s="842"/>
      <c r="C218" s="1486"/>
      <c r="D218" s="842"/>
      <c r="E218" s="1472">
        <f>E215+E216+E217</f>
        <v>1465.6200000000001</v>
      </c>
      <c r="F218" s="1217"/>
      <c r="G218" s="1217"/>
      <c r="H218" s="1217">
        <f>H215+H216+H217</f>
        <v>9765</v>
      </c>
      <c r="I218" s="1605">
        <f t="shared" si="34"/>
        <v>56.651389452921038</v>
      </c>
      <c r="J218" s="1605"/>
      <c r="K218" s="1548" t="str">
        <f t="shared" si="33"/>
        <v>Producto: Plátano fruta</v>
      </c>
      <c r="L218" s="1035"/>
      <c r="M218" s="1036"/>
      <c r="N218" s="1036"/>
    </row>
    <row r="219" spans="1:14" ht="20.65" customHeight="1" thickBot="1" x14ac:dyDescent="0.3">
      <c r="A219" s="1311" t="s">
        <v>962</v>
      </c>
      <c r="B219" s="1312"/>
      <c r="C219" s="1488"/>
      <c r="D219" s="1312"/>
      <c r="E219" s="1477">
        <f>E213+E218</f>
        <v>5565.62</v>
      </c>
      <c r="F219" s="1222">
        <f>F213+F218</f>
        <v>0</v>
      </c>
      <c r="G219" s="1222">
        <f>G213+G218</f>
        <v>0</v>
      </c>
      <c r="H219" s="1222">
        <f>H213+H218</f>
        <v>17237</v>
      </c>
      <c r="I219" s="1605">
        <f t="shared" si="34"/>
        <v>100</v>
      </c>
      <c r="J219" s="1605"/>
      <c r="K219" s="1182" t="str">
        <f t="shared" si="33"/>
        <v>Producto: Plátano fruta</v>
      </c>
      <c r="L219" s="1030"/>
      <c r="M219" s="1031"/>
      <c r="N219" s="1031"/>
    </row>
    <row r="220" spans="1:14" ht="20.65" customHeight="1" x14ac:dyDescent="0.2">
      <c r="A220" s="1798" t="s">
        <v>232</v>
      </c>
      <c r="B220" s="1799"/>
      <c r="C220" s="1799"/>
      <c r="D220" s="1799"/>
      <c r="E220" s="1799"/>
      <c r="F220" s="1799"/>
      <c r="G220" s="1799"/>
      <c r="H220" s="1810" t="s">
        <v>230</v>
      </c>
      <c r="I220" s="1004"/>
      <c r="J220" s="1004"/>
      <c r="K220" s="1182" t="str">
        <f t="shared" si="33"/>
        <v>Producto: Plátano fruta</v>
      </c>
      <c r="L220" s="1030"/>
      <c r="M220" s="1031"/>
      <c r="N220" s="1031"/>
    </row>
    <row r="221" spans="1:14" ht="20.65" customHeight="1" thickBot="1" x14ac:dyDescent="0.25">
      <c r="A221" s="1820"/>
      <c r="B221" s="1821"/>
      <c r="C221" s="1821"/>
      <c r="D221" s="1821"/>
      <c r="E221" s="1821"/>
      <c r="F221" s="1821"/>
      <c r="G221" s="1821"/>
      <c r="H221" s="1801"/>
      <c r="I221" s="1004"/>
      <c r="J221" s="1004"/>
      <c r="K221" s="1182" t="str">
        <f t="shared" si="33"/>
        <v>Producto: Plátano fruta</v>
      </c>
      <c r="L221" s="1030"/>
      <c r="M221" s="1031"/>
      <c r="N221" s="1031"/>
    </row>
    <row r="222" spans="1:14" ht="20.65" customHeight="1" x14ac:dyDescent="0.2">
      <c r="A222" s="1798" t="s">
        <v>969</v>
      </c>
      <c r="B222" s="1799"/>
      <c r="C222" s="1799"/>
      <c r="D222" s="1799"/>
      <c r="E222" s="1799"/>
      <c r="F222" s="1799"/>
      <c r="G222" s="1799"/>
      <c r="H222" s="1800">
        <f ca="1">TODAY()</f>
        <v>45398</v>
      </c>
      <c r="I222" s="1609"/>
      <c r="J222" s="1609"/>
      <c r="K222" s="1182" t="str">
        <f t="shared" si="33"/>
        <v>Producto: Plátano fruta</v>
      </c>
      <c r="L222" s="1030"/>
      <c r="M222" s="1031"/>
      <c r="N222" s="1031"/>
    </row>
    <row r="223" spans="1:14" ht="20.65" customHeight="1" thickBot="1" x14ac:dyDescent="0.25">
      <c r="A223" s="1822"/>
      <c r="B223" s="1823"/>
      <c r="C223" s="1823"/>
      <c r="D223" s="1823"/>
      <c r="E223" s="1823"/>
      <c r="F223" s="1823"/>
      <c r="G223" s="1823"/>
      <c r="H223" s="1801"/>
      <c r="I223" s="1004"/>
      <c r="J223" s="1004"/>
      <c r="K223" s="1182" t="str">
        <f t="shared" si="33"/>
        <v>Producto: Plátano fruta</v>
      </c>
      <c r="L223" s="1030"/>
      <c r="M223" s="1031"/>
      <c r="N223" s="1031"/>
    </row>
    <row r="224" spans="1:14" ht="20.65" customHeight="1" x14ac:dyDescent="0.25">
      <c r="H224" s="1097"/>
    </row>
    <row r="225" spans="8:8" ht="20.65" customHeight="1" x14ac:dyDescent="0.25">
      <c r="H225" s="1097"/>
    </row>
    <row r="226" spans="8:8" ht="20.65" customHeight="1" x14ac:dyDescent="0.25">
      <c r="H226" s="1097"/>
    </row>
    <row r="227" spans="8:8" ht="20.65" customHeight="1" x14ac:dyDescent="0.25">
      <c r="H227" s="1097"/>
    </row>
    <row r="228" spans="8:8" ht="20.65" customHeight="1" x14ac:dyDescent="0.25">
      <c r="H228" s="1097"/>
    </row>
    <row r="229" spans="8:8" ht="20.65" customHeight="1" x14ac:dyDescent="0.25">
      <c r="H229" s="1097"/>
    </row>
    <row r="230" spans="8:8" ht="20.65" customHeight="1" x14ac:dyDescent="0.25">
      <c r="H230" s="1097"/>
    </row>
    <row r="231" spans="8:8" ht="20.65" customHeight="1" x14ac:dyDescent="0.25">
      <c r="H231" s="1097"/>
    </row>
    <row r="232" spans="8:8" ht="20.65" customHeight="1" x14ac:dyDescent="0.25">
      <c r="H232" s="1097"/>
    </row>
    <row r="233" spans="8:8" ht="20.65" customHeight="1" x14ac:dyDescent="0.25">
      <c r="H233" s="1097"/>
    </row>
    <row r="234" spans="8:8" ht="20.65" customHeight="1" x14ac:dyDescent="0.25">
      <c r="H234" s="1097"/>
    </row>
    <row r="235" spans="8:8" ht="20.65" customHeight="1" x14ac:dyDescent="0.25">
      <c r="H235" s="1097"/>
    </row>
    <row r="236" spans="8:8" ht="20.65" customHeight="1" x14ac:dyDescent="0.25">
      <c r="H236" s="1097"/>
    </row>
    <row r="237" spans="8:8" ht="20.65" customHeight="1" x14ac:dyDescent="0.25">
      <c r="H237" s="1097"/>
    </row>
    <row r="238" spans="8:8" ht="20.65" customHeight="1" x14ac:dyDescent="0.25">
      <c r="H238" s="1097"/>
    </row>
    <row r="239" spans="8:8" ht="20.65" customHeight="1" x14ac:dyDescent="0.25">
      <c r="H239" s="1097"/>
    </row>
    <row r="240" spans="8:8" ht="20.65" customHeight="1" x14ac:dyDescent="0.25">
      <c r="H240" s="1097"/>
    </row>
    <row r="241" spans="8:8" ht="20.65" customHeight="1" x14ac:dyDescent="0.25">
      <c r="H241" s="1097"/>
    </row>
    <row r="242" spans="8:8" ht="20.65" customHeight="1" x14ac:dyDescent="0.25">
      <c r="H242" s="1097"/>
    </row>
    <row r="243" spans="8:8" ht="20.65" customHeight="1" x14ac:dyDescent="0.25">
      <c r="H243" s="1097"/>
    </row>
    <row r="244" spans="8:8" ht="20.65" customHeight="1" x14ac:dyDescent="0.25">
      <c r="H244" s="1097"/>
    </row>
    <row r="245" spans="8:8" ht="20.65" customHeight="1" x14ac:dyDescent="0.25">
      <c r="H245" s="1097"/>
    </row>
    <row r="246" spans="8:8" ht="20.65" customHeight="1" x14ac:dyDescent="0.25">
      <c r="H246" s="1097"/>
    </row>
    <row r="247" spans="8:8" ht="20.65" customHeight="1" x14ac:dyDescent="0.25">
      <c r="H247" s="1097"/>
    </row>
    <row r="248" spans="8:8" ht="20.65" customHeight="1" x14ac:dyDescent="0.25">
      <c r="H248" s="1097"/>
    </row>
    <row r="249" spans="8:8" ht="20.65" customHeight="1" x14ac:dyDescent="0.25">
      <c r="H249" s="1097"/>
    </row>
    <row r="250" spans="8:8" ht="20.65" customHeight="1" x14ac:dyDescent="0.25">
      <c r="H250" s="1097"/>
    </row>
    <row r="251" spans="8:8" ht="20.65" customHeight="1" x14ac:dyDescent="0.25">
      <c r="H251" s="1097"/>
    </row>
    <row r="252" spans="8:8" ht="20.65" customHeight="1" x14ac:dyDescent="0.25">
      <c r="H252" s="1097"/>
    </row>
    <row r="253" spans="8:8" ht="20.65" customHeight="1" x14ac:dyDescent="0.25">
      <c r="H253" s="1097"/>
    </row>
    <row r="254" spans="8:8" ht="20.65" customHeight="1" x14ac:dyDescent="0.25">
      <c r="H254" s="1097"/>
    </row>
    <row r="255" spans="8:8" ht="20.65" customHeight="1" x14ac:dyDescent="0.25">
      <c r="H255" s="1097"/>
    </row>
    <row r="256" spans="8:8" ht="20.65" customHeight="1" x14ac:dyDescent="0.25">
      <c r="H256" s="1097"/>
    </row>
    <row r="257" spans="8:8" ht="20.65" customHeight="1" x14ac:dyDescent="0.25">
      <c r="H257" s="1097"/>
    </row>
    <row r="258" spans="8:8" ht="20.65" customHeight="1" x14ac:dyDescent="0.25">
      <c r="H258" s="1097"/>
    </row>
    <row r="259" spans="8:8" ht="20.65" customHeight="1" x14ac:dyDescent="0.25">
      <c r="H259" s="1097"/>
    </row>
    <row r="260" spans="8:8" ht="20.65" customHeight="1" x14ac:dyDescent="0.25">
      <c r="H260" s="1097"/>
    </row>
    <row r="261" spans="8:8" ht="20.65" customHeight="1" x14ac:dyDescent="0.25">
      <c r="H261" s="1097"/>
    </row>
    <row r="262" spans="8:8" ht="20.65" customHeight="1" x14ac:dyDescent="0.25">
      <c r="H262" s="1097"/>
    </row>
    <row r="263" spans="8:8" ht="20.65" customHeight="1" x14ac:dyDescent="0.25">
      <c r="H263" s="1097"/>
    </row>
    <row r="264" spans="8:8" ht="20.65" customHeight="1" x14ac:dyDescent="0.25">
      <c r="H264" s="1097"/>
    </row>
    <row r="265" spans="8:8" ht="20.65" customHeight="1" x14ac:dyDescent="0.25">
      <c r="H265" s="1097"/>
    </row>
    <row r="266" spans="8:8" ht="20.65" customHeight="1" x14ac:dyDescent="0.25">
      <c r="H266" s="1097"/>
    </row>
    <row r="267" spans="8:8" ht="20.65" customHeight="1" x14ac:dyDescent="0.25">
      <c r="H267" s="1097"/>
    </row>
    <row r="268" spans="8:8" ht="20.65" customHeight="1" x14ac:dyDescent="0.25">
      <c r="H268" s="1097"/>
    </row>
    <row r="269" spans="8:8" ht="20.65" customHeight="1" x14ac:dyDescent="0.25">
      <c r="H269" s="1097"/>
    </row>
    <row r="270" spans="8:8" ht="20.65" customHeight="1" x14ac:dyDescent="0.25">
      <c r="H270" s="1097"/>
    </row>
    <row r="271" spans="8:8" ht="20.65" customHeight="1" x14ac:dyDescent="0.25">
      <c r="H271" s="1097"/>
    </row>
    <row r="272" spans="8:8" ht="20.65" customHeight="1" x14ac:dyDescent="0.25">
      <c r="H272" s="1097"/>
    </row>
    <row r="273" spans="8:8" ht="20.65" customHeight="1" x14ac:dyDescent="0.25">
      <c r="H273" s="1097"/>
    </row>
    <row r="274" spans="8:8" ht="20.65" customHeight="1" x14ac:dyDescent="0.25">
      <c r="H274" s="1097"/>
    </row>
    <row r="275" spans="8:8" ht="20.65" customHeight="1" x14ac:dyDescent="0.25">
      <c r="H275" s="1097"/>
    </row>
    <row r="276" spans="8:8" ht="20.65" customHeight="1" x14ac:dyDescent="0.25">
      <c r="H276" s="1097"/>
    </row>
    <row r="277" spans="8:8" ht="20.65" customHeight="1" x14ac:dyDescent="0.25">
      <c r="H277" s="1097"/>
    </row>
    <row r="278" spans="8:8" ht="20.65" customHeight="1" x14ac:dyDescent="0.25">
      <c r="H278" s="1097"/>
    </row>
    <row r="279" spans="8:8" ht="20.65" customHeight="1" x14ac:dyDescent="0.25">
      <c r="H279" s="1097"/>
    </row>
    <row r="280" spans="8:8" ht="20.65" customHeight="1" x14ac:dyDescent="0.25">
      <c r="H280" s="1097"/>
    </row>
    <row r="281" spans="8:8" ht="20.65" customHeight="1" x14ac:dyDescent="0.25">
      <c r="H281" s="1097"/>
    </row>
    <row r="282" spans="8:8" ht="20.65" customHeight="1" x14ac:dyDescent="0.25">
      <c r="H282" s="1097"/>
    </row>
    <row r="283" spans="8:8" ht="20.65" customHeight="1" x14ac:dyDescent="0.25">
      <c r="H283" s="1097"/>
    </row>
    <row r="284" spans="8:8" ht="20.65" customHeight="1" x14ac:dyDescent="0.25">
      <c r="H284" s="1097"/>
    </row>
    <row r="285" spans="8:8" ht="20.65" customHeight="1" x14ac:dyDescent="0.25">
      <c r="H285" s="1097"/>
    </row>
    <row r="286" spans="8:8" ht="20.65" customHeight="1" x14ac:dyDescent="0.25">
      <c r="H286" s="1097"/>
    </row>
    <row r="287" spans="8:8" ht="20.65" customHeight="1" x14ac:dyDescent="0.25">
      <c r="H287" s="1097"/>
    </row>
    <row r="288" spans="8:8" ht="20.65" customHeight="1" x14ac:dyDescent="0.25">
      <c r="H288" s="1097"/>
    </row>
    <row r="289" spans="8:8" ht="20.65" customHeight="1" x14ac:dyDescent="0.25">
      <c r="H289" s="1097"/>
    </row>
    <row r="290" spans="8:8" ht="20.65" customHeight="1" x14ac:dyDescent="0.25">
      <c r="H290" s="1097"/>
    </row>
    <row r="291" spans="8:8" ht="20.65" customHeight="1" x14ac:dyDescent="0.25">
      <c r="H291" s="1097"/>
    </row>
    <row r="292" spans="8:8" ht="20.65" customHeight="1" x14ac:dyDescent="0.25">
      <c r="H292" s="1097"/>
    </row>
    <row r="293" spans="8:8" ht="20.65" customHeight="1" x14ac:dyDescent="0.25">
      <c r="H293" s="1097"/>
    </row>
    <row r="294" spans="8:8" ht="20.65" customHeight="1" x14ac:dyDescent="0.25">
      <c r="H294" s="1097"/>
    </row>
    <row r="295" spans="8:8" ht="20.65" customHeight="1" x14ac:dyDescent="0.25">
      <c r="H295" s="1097"/>
    </row>
    <row r="296" spans="8:8" ht="20.65" customHeight="1" x14ac:dyDescent="0.25">
      <c r="H296" s="1097"/>
    </row>
    <row r="297" spans="8:8" ht="20.65" customHeight="1" x14ac:dyDescent="0.25">
      <c r="H297" s="1097"/>
    </row>
    <row r="298" spans="8:8" ht="20.65" customHeight="1" x14ac:dyDescent="0.25">
      <c r="H298" s="1097"/>
    </row>
    <row r="299" spans="8:8" ht="20.65" customHeight="1" x14ac:dyDescent="0.25">
      <c r="H299" s="1097"/>
    </row>
    <row r="300" spans="8:8" ht="20.65" customHeight="1" x14ac:dyDescent="0.25">
      <c r="H300" s="1097"/>
    </row>
    <row r="301" spans="8:8" ht="20.65" customHeight="1" x14ac:dyDescent="0.25">
      <c r="H301" s="1097"/>
    </row>
    <row r="302" spans="8:8" ht="20.65" customHeight="1" x14ac:dyDescent="0.25">
      <c r="H302" s="1097"/>
    </row>
    <row r="303" spans="8:8" ht="20.65" customHeight="1" x14ac:dyDescent="0.25">
      <c r="H303" s="1097"/>
    </row>
    <row r="304" spans="8:8" ht="20.65" customHeight="1" x14ac:dyDescent="0.25">
      <c r="H304" s="1097"/>
    </row>
    <row r="305" spans="8:8" ht="20.65" customHeight="1" x14ac:dyDescent="0.25">
      <c r="H305" s="1097"/>
    </row>
    <row r="306" spans="8:8" ht="20.65" customHeight="1" x14ac:dyDescent="0.25">
      <c r="H306" s="1097"/>
    </row>
  </sheetData>
  <protectedRanges>
    <protectedRange sqref="C10:C16" name="Rango2_2"/>
    <protectedRange sqref="A18:A22 C19:D20 C22:D22 B18:D18 C21 B19:B22" name="Rango2_3"/>
    <protectedRange sqref="C46:C47" name="Rango2_4"/>
    <protectedRange sqref="B85:C88 B78:D79 B53:C56" name="Rango2_6"/>
  </protectedRanges>
  <autoFilter ref="A7:P223"/>
  <mergeCells count="120">
    <mergeCell ref="I5:I7"/>
    <mergeCell ref="A104:H104"/>
    <mergeCell ref="A135:H135"/>
    <mergeCell ref="A165:H165"/>
    <mergeCell ref="A130:G130"/>
    <mergeCell ref="A67:G67"/>
    <mergeCell ref="A68:G68"/>
    <mergeCell ref="A134:H134"/>
    <mergeCell ref="G74:G76"/>
    <mergeCell ref="G106:G108"/>
    <mergeCell ref="A106:A108"/>
    <mergeCell ref="A69:G69"/>
    <mergeCell ref="A71:H71"/>
    <mergeCell ref="H74:H76"/>
    <mergeCell ref="A39:H39"/>
    <mergeCell ref="H69:H70"/>
    <mergeCell ref="A40:H40"/>
    <mergeCell ref="A72:H72"/>
    <mergeCell ref="A70:G70"/>
    <mergeCell ref="H67:H68"/>
    <mergeCell ref="A100:G100"/>
    <mergeCell ref="A101:G101"/>
    <mergeCell ref="H101:H102"/>
    <mergeCell ref="A102:G102"/>
    <mergeCell ref="A220:G220"/>
    <mergeCell ref="A164:H164"/>
    <mergeCell ref="B106:B108"/>
    <mergeCell ref="H162:H163"/>
    <mergeCell ref="A133:G133"/>
    <mergeCell ref="C106:C108"/>
    <mergeCell ref="D106:D108"/>
    <mergeCell ref="H106:H108"/>
    <mergeCell ref="F106:F108"/>
    <mergeCell ref="E106:E108"/>
    <mergeCell ref="A222:G222"/>
    <mergeCell ref="H222:H223"/>
    <mergeCell ref="A223:G223"/>
    <mergeCell ref="A131:G131"/>
    <mergeCell ref="A132:G132"/>
    <mergeCell ref="H132:H133"/>
    <mergeCell ref="H160:H161"/>
    <mergeCell ref="A161:G161"/>
    <mergeCell ref="A162:G162"/>
    <mergeCell ref="H220:H221"/>
    <mergeCell ref="C199:C201"/>
    <mergeCell ref="A163:G163"/>
    <mergeCell ref="A137:A139"/>
    <mergeCell ref="B137:B139"/>
    <mergeCell ref="F137:F139"/>
    <mergeCell ref="A167:A169"/>
    <mergeCell ref="B167:B169"/>
    <mergeCell ref="A160:G160"/>
    <mergeCell ref="G137:G139"/>
    <mergeCell ref="G167:G169"/>
    <mergeCell ref="D167:D169"/>
    <mergeCell ref="D137:D139"/>
    <mergeCell ref="C137:C139"/>
    <mergeCell ref="A221:G221"/>
    <mergeCell ref="A2:H2"/>
    <mergeCell ref="G5:G7"/>
    <mergeCell ref="A3:H3"/>
    <mergeCell ref="C5:C7"/>
    <mergeCell ref="D5:D7"/>
    <mergeCell ref="B74:B76"/>
    <mergeCell ref="F74:F76"/>
    <mergeCell ref="E42:E44"/>
    <mergeCell ref="A35:G35"/>
    <mergeCell ref="H35:H36"/>
    <mergeCell ref="A36:G36"/>
    <mergeCell ref="A74:A76"/>
    <mergeCell ref="C74:C76"/>
    <mergeCell ref="D74:D76"/>
    <mergeCell ref="E74:E76"/>
    <mergeCell ref="A37:G37"/>
    <mergeCell ref="G42:G44"/>
    <mergeCell ref="L42:N42"/>
    <mergeCell ref="A42:A44"/>
    <mergeCell ref="B42:B44"/>
    <mergeCell ref="F42:F44"/>
    <mergeCell ref="H42:H44"/>
    <mergeCell ref="H37:H38"/>
    <mergeCell ref="A38:G38"/>
    <mergeCell ref="H137:H139"/>
    <mergeCell ref="L5:N5"/>
    <mergeCell ref="A5:A7"/>
    <mergeCell ref="B5:B7"/>
    <mergeCell ref="F5:F7"/>
    <mergeCell ref="H5:H7"/>
    <mergeCell ref="L106:N106"/>
    <mergeCell ref="E5:E7"/>
    <mergeCell ref="C42:C44"/>
    <mergeCell ref="D42:D44"/>
    <mergeCell ref="E137:E139"/>
    <mergeCell ref="L137:N137"/>
    <mergeCell ref="H130:H131"/>
    <mergeCell ref="L74:N74"/>
    <mergeCell ref="A103:H103"/>
    <mergeCell ref="A99:G99"/>
    <mergeCell ref="H99:H100"/>
    <mergeCell ref="L167:N167"/>
    <mergeCell ref="L199:N199"/>
    <mergeCell ref="A194:G194"/>
    <mergeCell ref="H194:H195"/>
    <mergeCell ref="A199:A201"/>
    <mergeCell ref="B199:B201"/>
    <mergeCell ref="A192:G192"/>
    <mergeCell ref="A196:H196"/>
    <mergeCell ref="H192:H193"/>
    <mergeCell ref="H167:H169"/>
    <mergeCell ref="G199:G201"/>
    <mergeCell ref="H199:H201"/>
    <mergeCell ref="F199:F201"/>
    <mergeCell ref="A193:G193"/>
    <mergeCell ref="A195:G195"/>
    <mergeCell ref="A197:H197"/>
    <mergeCell ref="F167:F169"/>
    <mergeCell ref="C167:C169"/>
    <mergeCell ref="E167:E169"/>
    <mergeCell ref="D199:D201"/>
    <mergeCell ref="E199:E201"/>
  </mergeCells>
  <phoneticPr fontId="21" type="noConversion"/>
  <pageMargins left="0.98425196850393704" right="0.15748031496062992" top="0.98425196850393704" bottom="0.19685039370078741" header="0" footer="0"/>
  <pageSetup scale="95" orientation="portrait" horizontalDpi="300" verticalDpi="300" r:id="rId1"/>
  <headerFooter alignWithMargins="0"/>
  <rowBreaks count="6" manualBreakCount="6">
    <brk id="38" max="16383" man="1"/>
    <brk id="70" max="16383" man="1"/>
    <brk id="102" max="16383" man="1"/>
    <brk id="133" max="16383" man="1"/>
    <brk id="163" max="16383" man="1"/>
    <brk id="195" max="16383" man="1"/>
  </rowBreaks>
  <colBreaks count="1" manualBreakCount="1">
    <brk id="10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showGridLines="0" workbookViewId="0">
      <selection activeCell="I46" sqref="I46"/>
    </sheetView>
  </sheetViews>
  <sheetFormatPr baseColWidth="10" defaultRowHeight="12.75" x14ac:dyDescent="0.2"/>
  <cols>
    <col min="1" max="1" width="24.28515625" customWidth="1"/>
    <col min="2" max="2" width="27" customWidth="1"/>
    <col min="3" max="3" width="6.28515625" customWidth="1"/>
    <col min="5" max="5" width="9.28515625" customWidth="1"/>
    <col min="6" max="6" width="9.140625" style="1637" customWidth="1"/>
  </cols>
  <sheetData>
    <row r="1" spans="1:6" x14ac:dyDescent="0.2">
      <c r="A1" s="1313" t="s">
        <v>229</v>
      </c>
      <c r="B1" s="1314"/>
      <c r="C1" s="1315"/>
      <c r="D1" s="1316"/>
    </row>
    <row r="2" spans="1:6" x14ac:dyDescent="0.2">
      <c r="A2" s="1313" t="s">
        <v>1896</v>
      </c>
      <c r="B2" s="1314"/>
      <c r="C2" s="1315"/>
      <c r="D2" s="1316"/>
    </row>
    <row r="3" spans="1:6" x14ac:dyDescent="0.2">
      <c r="A3" s="1644" t="s">
        <v>1897</v>
      </c>
      <c r="B3" s="1645"/>
      <c r="C3" s="1652"/>
      <c r="D3" s="1646"/>
      <c r="E3" s="1647"/>
      <c r="F3" s="1648"/>
    </row>
    <row r="4" spans="1:6" ht="13.15" customHeight="1" x14ac:dyDescent="0.2">
      <c r="A4" s="1851" t="s">
        <v>1898</v>
      </c>
      <c r="B4" s="1862" t="s">
        <v>1899</v>
      </c>
      <c r="C4" s="1860" t="s">
        <v>1900</v>
      </c>
      <c r="D4" s="1865" t="s">
        <v>1901</v>
      </c>
      <c r="E4" s="1845" t="s">
        <v>2045</v>
      </c>
      <c r="F4" s="1861" t="s">
        <v>2046</v>
      </c>
    </row>
    <row r="5" spans="1:6" ht="12.4" customHeight="1" x14ac:dyDescent="0.2">
      <c r="A5" s="1852"/>
      <c r="B5" s="1863"/>
      <c r="C5" s="1860"/>
      <c r="D5" s="1865"/>
      <c r="E5" s="1845"/>
      <c r="F5" s="1861"/>
    </row>
    <row r="6" spans="1:6" ht="12.4" customHeight="1" x14ac:dyDescent="0.2">
      <c r="A6" s="1853"/>
      <c r="B6" s="1863"/>
      <c r="C6" s="1860"/>
      <c r="D6" s="1865"/>
      <c r="E6" s="1845"/>
      <c r="F6" s="1861"/>
    </row>
    <row r="7" spans="1:6" x14ac:dyDescent="0.2">
      <c r="A7" s="1629" t="s">
        <v>656</v>
      </c>
      <c r="B7" s="1629"/>
      <c r="C7" s="1641"/>
      <c r="D7" s="1641"/>
      <c r="E7" s="1639"/>
      <c r="F7" s="1638"/>
    </row>
    <row r="8" spans="1:6" x14ac:dyDescent="0.2">
      <c r="A8" s="1341" t="s">
        <v>1907</v>
      </c>
      <c r="B8" s="1341" t="s">
        <v>1908</v>
      </c>
      <c r="C8" s="1345">
        <v>1</v>
      </c>
      <c r="D8" s="1345">
        <v>2</v>
      </c>
      <c r="E8" s="1638">
        <f>'Insumos 2020'!C144</f>
        <v>189.94</v>
      </c>
      <c r="F8" s="1638">
        <f>C8*D8*E8</f>
        <v>379.88</v>
      </c>
    </row>
    <row r="9" spans="1:6" x14ac:dyDescent="0.2">
      <c r="A9" s="1341" t="s">
        <v>1910</v>
      </c>
      <c r="B9" s="1341" t="s">
        <v>1911</v>
      </c>
      <c r="C9" s="1345">
        <v>0.75</v>
      </c>
      <c r="D9" s="1345">
        <v>2</v>
      </c>
      <c r="E9" s="1638">
        <f>'Insumos 2020'!C131</f>
        <v>210.78</v>
      </c>
      <c r="F9" s="1638">
        <f>C9*D9*E9</f>
        <v>316.17</v>
      </c>
    </row>
    <row r="10" spans="1:6" s="1198" customFormat="1" x14ac:dyDescent="0.2">
      <c r="A10" s="1656" t="s">
        <v>1912</v>
      </c>
      <c r="B10" s="1653"/>
      <c r="C10" s="1643"/>
      <c r="D10" s="1642">
        <f>SUM(D8:D9)</f>
        <v>4</v>
      </c>
      <c r="E10" s="1654"/>
      <c r="F10" s="1655">
        <f>F8+F9</f>
        <v>696.05</v>
      </c>
    </row>
    <row r="11" spans="1:6" x14ac:dyDescent="0.2">
      <c r="A11" s="1634" t="s">
        <v>1913</v>
      </c>
      <c r="B11" s="1341" t="s">
        <v>759</v>
      </c>
      <c r="C11" s="1345">
        <v>0.75</v>
      </c>
      <c r="D11" s="1345">
        <v>0.7</v>
      </c>
      <c r="E11" s="1638">
        <f>'Insumos 2020'!C238</f>
        <v>464.83</v>
      </c>
      <c r="F11" s="1638">
        <f>C11*D11*E11</f>
        <v>244.03574999999995</v>
      </c>
    </row>
    <row r="12" spans="1:6" s="1198" customFormat="1" x14ac:dyDescent="0.2">
      <c r="A12" s="1656" t="s">
        <v>1914</v>
      </c>
      <c r="B12" s="1653"/>
      <c r="C12" s="1642"/>
      <c r="D12" s="1642">
        <f>SUM(D11:D11)</f>
        <v>0.7</v>
      </c>
      <c r="E12" s="1654"/>
      <c r="F12" s="1655">
        <f>F11</f>
        <v>244.03574999999995</v>
      </c>
    </row>
    <row r="13" spans="1:6" x14ac:dyDescent="0.2">
      <c r="A13" s="1631"/>
      <c r="B13" s="1631"/>
      <c r="C13" s="1345"/>
      <c r="D13" s="1345"/>
      <c r="E13" s="1639"/>
      <c r="F13" s="1638"/>
    </row>
    <row r="14" spans="1:6" x14ac:dyDescent="0.2">
      <c r="A14" s="1850" t="s">
        <v>1915</v>
      </c>
      <c r="B14" s="1850"/>
      <c r="C14" s="1345"/>
      <c r="D14" s="1643"/>
      <c r="E14" s="1639"/>
      <c r="F14" s="1638"/>
    </row>
    <row r="15" spans="1:6" x14ac:dyDescent="0.2">
      <c r="A15" s="1354" t="s">
        <v>1916</v>
      </c>
      <c r="B15" s="1354" t="s">
        <v>1916</v>
      </c>
      <c r="C15" s="1345">
        <v>3</v>
      </c>
      <c r="D15" s="1345">
        <v>2</v>
      </c>
      <c r="E15" s="1638">
        <f>'Resolución 92-21'!C23</f>
        <v>30</v>
      </c>
      <c r="F15" s="1638">
        <f>C15*D15*E15</f>
        <v>180</v>
      </c>
    </row>
    <row r="16" spans="1:6" x14ac:dyDescent="0.2">
      <c r="A16" s="430" t="s">
        <v>1918</v>
      </c>
      <c r="B16" s="430" t="s">
        <v>1919</v>
      </c>
      <c r="C16" s="414">
        <v>3</v>
      </c>
      <c r="D16" s="1345">
        <v>2</v>
      </c>
      <c r="E16" s="1638">
        <f>'Resolución 92-21'!C24</f>
        <v>30</v>
      </c>
      <c r="F16" s="1638">
        <f>C16*D16*E16</f>
        <v>180</v>
      </c>
    </row>
    <row r="17" spans="1:6" x14ac:dyDescent="0.2">
      <c r="A17" s="1640" t="s">
        <v>1920</v>
      </c>
      <c r="B17" s="430" t="s">
        <v>1921</v>
      </c>
      <c r="C17" s="414">
        <v>20</v>
      </c>
      <c r="D17" s="1345">
        <v>4</v>
      </c>
      <c r="E17" s="1638">
        <f>'Resolución 92-21'!C6</f>
        <v>12</v>
      </c>
      <c r="F17" s="1638">
        <f>C17*D17*E17</f>
        <v>960</v>
      </c>
    </row>
    <row r="18" spans="1:6" s="1198" customFormat="1" x14ac:dyDescent="0.2">
      <c r="A18" s="1843" t="s">
        <v>1922</v>
      </c>
      <c r="B18" s="1844"/>
      <c r="C18" s="1643"/>
      <c r="D18" s="1642">
        <f>SUM(D15:D17)</f>
        <v>8</v>
      </c>
      <c r="E18" s="1655"/>
      <c r="F18" s="1655">
        <f>F15+F16+F17</f>
        <v>1320</v>
      </c>
    </row>
    <row r="19" spans="1:6" x14ac:dyDescent="0.2">
      <c r="A19" s="1649" t="s">
        <v>1923</v>
      </c>
      <c r="B19" s="1650"/>
      <c r="C19" s="1649"/>
      <c r="D19" s="1651"/>
      <c r="E19" s="1647"/>
      <c r="F19" s="1648"/>
    </row>
    <row r="20" spans="1:6" ht="12.4" customHeight="1" x14ac:dyDescent="0.2">
      <c r="A20" s="1857" t="s">
        <v>1898</v>
      </c>
      <c r="B20" s="1857" t="s">
        <v>1899</v>
      </c>
      <c r="C20" s="1866" t="s">
        <v>1900</v>
      </c>
      <c r="D20" s="1864" t="s">
        <v>1901</v>
      </c>
      <c r="E20" s="1845" t="s">
        <v>2045</v>
      </c>
      <c r="F20" s="1861" t="s">
        <v>2046</v>
      </c>
    </row>
    <row r="21" spans="1:6" x14ac:dyDescent="0.2">
      <c r="A21" s="1858"/>
      <c r="B21" s="1858"/>
      <c r="C21" s="1866"/>
      <c r="D21" s="1864"/>
      <c r="E21" s="1845"/>
      <c r="F21" s="1861"/>
    </row>
    <row r="22" spans="1:6" x14ac:dyDescent="0.2">
      <c r="A22" s="1858"/>
      <c r="B22" s="1858"/>
      <c r="C22" s="1866"/>
      <c r="D22" s="1864"/>
      <c r="E22" s="1845"/>
      <c r="F22" s="1861"/>
    </row>
    <row r="23" spans="1:6" hidden="1" x14ac:dyDescent="0.2">
      <c r="A23" s="1372" t="s">
        <v>656</v>
      </c>
      <c r="B23" s="1372"/>
      <c r="C23" s="1376"/>
      <c r="D23" s="1377"/>
      <c r="E23" s="1639"/>
      <c r="F23" s="1638"/>
    </row>
    <row r="24" spans="1:6" hidden="1" x14ac:dyDescent="0.2">
      <c r="A24" s="1380" t="s">
        <v>1925</v>
      </c>
      <c r="B24" s="1381" t="s">
        <v>1926</v>
      </c>
      <c r="C24" s="1379">
        <v>0.4</v>
      </c>
      <c r="D24" s="1382">
        <v>0.5</v>
      </c>
      <c r="E24" s="1638">
        <f>'Insumos 2020'!C139</f>
        <v>276.87</v>
      </c>
      <c r="F24" s="1638">
        <f>C24*D24*E24</f>
        <v>55.374000000000002</v>
      </c>
    </row>
    <row r="25" spans="1:6" s="1198" customFormat="1" x14ac:dyDescent="0.2">
      <c r="A25" s="1848" t="s">
        <v>1912</v>
      </c>
      <c r="B25" s="1849"/>
      <c r="C25" s="1657"/>
      <c r="D25" s="1383">
        <f>SUM(D24)</f>
        <v>0.5</v>
      </c>
      <c r="E25" s="1654"/>
      <c r="F25" s="1655">
        <f>F24</f>
        <v>55.374000000000002</v>
      </c>
    </row>
    <row r="26" spans="1:6" x14ac:dyDescent="0.2">
      <c r="A26" s="1630" t="s">
        <v>780</v>
      </c>
      <c r="B26" s="1630"/>
      <c r="C26" s="1379"/>
      <c r="D26" s="1382"/>
      <c r="E26" s="1639"/>
      <c r="F26" s="1638"/>
    </row>
    <row r="27" spans="1:6" x14ac:dyDescent="0.2">
      <c r="A27" s="1635" t="s">
        <v>1913</v>
      </c>
      <c r="B27" s="1385" t="s">
        <v>759</v>
      </c>
      <c r="C27" s="1379">
        <v>0.75</v>
      </c>
      <c r="D27" s="1382">
        <v>1</v>
      </c>
      <c r="E27" s="1638">
        <f>'Insumos 2020'!C238</f>
        <v>464.83</v>
      </c>
      <c r="F27" s="1638">
        <f>C27*D27*E27</f>
        <v>348.6225</v>
      </c>
    </row>
    <row r="28" spans="1:6" s="1198" customFormat="1" x14ac:dyDescent="0.2">
      <c r="A28" s="1848" t="s">
        <v>1914</v>
      </c>
      <c r="B28" s="1849"/>
      <c r="C28" s="1383"/>
      <c r="D28" s="1658">
        <f>SUM(D27:D27)</f>
        <v>1</v>
      </c>
      <c r="E28" s="1654"/>
      <c r="F28" s="1655">
        <f>F27</f>
        <v>348.6225</v>
      </c>
    </row>
    <row r="29" spans="1:6" x14ac:dyDescent="0.2">
      <c r="A29" s="1636" t="s">
        <v>1765</v>
      </c>
      <c r="B29" s="1387"/>
      <c r="C29" s="1379"/>
      <c r="D29" s="1382"/>
      <c r="E29" s="1639"/>
      <c r="F29" s="1638"/>
    </row>
    <row r="30" spans="1:6" x14ac:dyDescent="0.2">
      <c r="A30" s="1859" t="s">
        <v>1915</v>
      </c>
      <c r="B30" s="1859"/>
      <c r="C30" s="1379"/>
      <c r="D30" s="1388"/>
      <c r="E30" s="1639"/>
      <c r="F30" s="1638"/>
    </row>
    <row r="31" spans="1:6" x14ac:dyDescent="0.2">
      <c r="A31" s="1391" t="s">
        <v>1927</v>
      </c>
      <c r="B31" s="1391" t="s">
        <v>1927</v>
      </c>
      <c r="C31" s="1393">
        <v>3</v>
      </c>
      <c r="D31" s="1382">
        <v>2</v>
      </c>
      <c r="E31" s="1638">
        <f>'Resolución 92-21'!C21</f>
        <v>30</v>
      </c>
      <c r="F31" s="1638">
        <f>C31*D31*E31</f>
        <v>180</v>
      </c>
    </row>
    <row r="32" spans="1:6" x14ac:dyDescent="0.2">
      <c r="A32" s="1391" t="s">
        <v>1929</v>
      </c>
      <c r="B32" s="1391" t="s">
        <v>1930</v>
      </c>
      <c r="C32" s="1393">
        <v>3</v>
      </c>
      <c r="D32" s="1382">
        <v>2</v>
      </c>
      <c r="E32" s="1638">
        <f>'Resolución 92-21'!C25</f>
        <v>30</v>
      </c>
      <c r="F32" s="1638">
        <f>C32*D32*E32</f>
        <v>180</v>
      </c>
    </row>
    <row r="33" spans="1:6" x14ac:dyDescent="0.2">
      <c r="A33" s="1391" t="s">
        <v>1918</v>
      </c>
      <c r="B33" s="1391" t="s">
        <v>1919</v>
      </c>
      <c r="C33" s="1393">
        <v>3</v>
      </c>
      <c r="D33" s="1382">
        <v>2</v>
      </c>
      <c r="E33" s="1638">
        <f>'Resolución 92-21'!C24</f>
        <v>30</v>
      </c>
      <c r="F33" s="1638">
        <f>C33*D33*E33</f>
        <v>180</v>
      </c>
    </row>
    <row r="34" spans="1:6" s="1198" customFormat="1" x14ac:dyDescent="0.2">
      <c r="A34" s="1848" t="s">
        <v>1922</v>
      </c>
      <c r="B34" s="1849"/>
      <c r="C34" s="1659"/>
      <c r="D34" s="1658">
        <f>SUM(D31:D33)</f>
        <v>6</v>
      </c>
      <c r="E34" s="1654"/>
      <c r="F34" s="1655">
        <f>F31+F32+F33</f>
        <v>540</v>
      </c>
    </row>
    <row r="35" spans="1:6" x14ac:dyDescent="0.2">
      <c r="A35" s="1644" t="s">
        <v>2020</v>
      </c>
      <c r="B35" s="1645"/>
      <c r="C35" s="1644"/>
      <c r="D35" s="1646"/>
      <c r="E35" s="1647"/>
      <c r="F35" s="1648"/>
    </row>
    <row r="36" spans="1:6" ht="13.15" customHeight="1" x14ac:dyDescent="0.2">
      <c r="A36" s="1862" t="s">
        <v>1898</v>
      </c>
      <c r="B36" s="1862" t="s">
        <v>1899</v>
      </c>
      <c r="C36" s="1860" t="s">
        <v>1900</v>
      </c>
      <c r="D36" s="1856" t="s">
        <v>1901</v>
      </c>
      <c r="E36" s="1845" t="s">
        <v>2045</v>
      </c>
      <c r="F36" s="1861" t="s">
        <v>2046</v>
      </c>
    </row>
    <row r="37" spans="1:6" x14ac:dyDescent="0.2">
      <c r="A37" s="1863"/>
      <c r="B37" s="1863"/>
      <c r="C37" s="1860"/>
      <c r="D37" s="1856"/>
      <c r="E37" s="1845"/>
      <c r="F37" s="1861"/>
    </row>
    <row r="38" spans="1:6" x14ac:dyDescent="0.2">
      <c r="A38" s="1863"/>
      <c r="B38" s="1863"/>
      <c r="C38" s="1860"/>
      <c r="D38" s="1856"/>
      <c r="E38" s="1845"/>
      <c r="F38" s="1861"/>
    </row>
    <row r="39" spans="1:6" x14ac:dyDescent="0.2">
      <c r="A39" s="1629" t="s">
        <v>1906</v>
      </c>
      <c r="B39" s="1333"/>
      <c r="C39" s="1400"/>
      <c r="D39" s="1330"/>
      <c r="E39" s="1639"/>
      <c r="F39" s="1638"/>
    </row>
    <row r="40" spans="1:6" x14ac:dyDescent="0.2">
      <c r="A40" s="1401" t="s">
        <v>716</v>
      </c>
      <c r="B40" s="1401"/>
      <c r="C40" s="1357"/>
      <c r="D40" s="1342"/>
      <c r="E40" s="1639"/>
      <c r="F40" s="1638"/>
    </row>
    <row r="41" spans="1:6" x14ac:dyDescent="0.2">
      <c r="A41" s="1634" t="s">
        <v>1933</v>
      </c>
      <c r="B41" s="1403" t="s">
        <v>1934</v>
      </c>
      <c r="C41" s="1342">
        <v>1</v>
      </c>
      <c r="D41" s="1342">
        <v>1</v>
      </c>
      <c r="E41" s="1639"/>
      <c r="F41" s="1660">
        <f>C41*D41*E41</f>
        <v>0</v>
      </c>
    </row>
    <row r="42" spans="1:6" x14ac:dyDescent="0.2">
      <c r="A42" s="1405" t="s">
        <v>1935</v>
      </c>
      <c r="B42" s="1406" t="s">
        <v>1936</v>
      </c>
      <c r="C42" s="1342">
        <v>1</v>
      </c>
      <c r="D42" s="1342">
        <v>2</v>
      </c>
      <c r="E42" s="1638">
        <f>'Insumos 2020'!C185</f>
        <v>373.16</v>
      </c>
      <c r="F42" s="1638">
        <f t="shared" ref="F42:F65" si="0">C42*D42*E42</f>
        <v>746.32</v>
      </c>
    </row>
    <row r="43" spans="1:6" x14ac:dyDescent="0.2">
      <c r="A43" s="1634" t="s">
        <v>1937</v>
      </c>
      <c r="B43" s="1404" t="s">
        <v>1938</v>
      </c>
      <c r="C43" s="1342">
        <v>0.5</v>
      </c>
      <c r="D43" s="1342">
        <v>2</v>
      </c>
      <c r="E43" s="1638">
        <f>'Insumos 2020'!C218</f>
        <v>350.53</v>
      </c>
      <c r="F43" s="1638">
        <f t="shared" si="0"/>
        <v>350.53</v>
      </c>
    </row>
    <row r="44" spans="1:6" x14ac:dyDescent="0.2">
      <c r="A44" s="1634" t="s">
        <v>1939</v>
      </c>
      <c r="B44" s="1404" t="s">
        <v>1940</v>
      </c>
      <c r="C44" s="1342">
        <v>0.5</v>
      </c>
      <c r="D44" s="1342">
        <v>2</v>
      </c>
      <c r="E44" s="1638">
        <f>'Insumos 2020'!C224</f>
        <v>425.84</v>
      </c>
      <c r="F44" s="1638">
        <f t="shared" si="0"/>
        <v>425.84</v>
      </c>
    </row>
    <row r="45" spans="1:6" x14ac:dyDescent="0.2">
      <c r="A45" s="1634" t="s">
        <v>1941</v>
      </c>
      <c r="B45" s="1407" t="s">
        <v>1942</v>
      </c>
      <c r="C45" s="1342">
        <v>0.75</v>
      </c>
      <c r="D45" s="1342">
        <v>1</v>
      </c>
      <c r="E45" s="1638">
        <f>'Insumos 2020'!C229</f>
        <v>306.36</v>
      </c>
      <c r="F45" s="1638">
        <f t="shared" si="0"/>
        <v>229.77</v>
      </c>
    </row>
    <row r="46" spans="1:6" x14ac:dyDescent="0.2">
      <c r="A46" s="1405" t="s">
        <v>1943</v>
      </c>
      <c r="B46" s="1408" t="s">
        <v>1944</v>
      </c>
      <c r="C46" s="1342">
        <v>2.5</v>
      </c>
      <c r="D46" s="1342">
        <v>5</v>
      </c>
      <c r="E46" s="1638">
        <f>'Insumos 2020'!C210</f>
        <v>76.61</v>
      </c>
      <c r="F46" s="1638">
        <f t="shared" si="0"/>
        <v>957.625</v>
      </c>
    </row>
    <row r="47" spans="1:6" s="1198" customFormat="1" x14ac:dyDescent="0.2">
      <c r="A47" s="1843" t="s">
        <v>1945</v>
      </c>
      <c r="B47" s="1844"/>
      <c r="C47" s="1661"/>
      <c r="D47" s="1340">
        <f>SUM(D41:D46)</f>
        <v>13</v>
      </c>
      <c r="E47" s="1654"/>
      <c r="F47" s="1655">
        <f>F41+F42+F43+F44+F45+F46</f>
        <v>2710.085</v>
      </c>
    </row>
    <row r="48" spans="1:6" x14ac:dyDescent="0.2">
      <c r="A48" s="1631"/>
      <c r="B48" s="1631"/>
      <c r="C48" s="1357"/>
      <c r="D48" s="1342"/>
      <c r="E48" s="1639"/>
      <c r="F48" s="1638"/>
    </row>
    <row r="49" spans="1:6" x14ac:dyDescent="0.2">
      <c r="A49" s="1846" t="s">
        <v>780</v>
      </c>
      <c r="B49" s="1846"/>
      <c r="C49" s="1357"/>
      <c r="D49" s="1342"/>
      <c r="E49" s="1639"/>
      <c r="F49" s="1638"/>
    </row>
    <row r="50" spans="1:6" x14ac:dyDescent="0.2">
      <c r="A50" s="1405" t="s">
        <v>1946</v>
      </c>
      <c r="B50" s="1405" t="s">
        <v>1947</v>
      </c>
      <c r="C50" s="1342">
        <v>1</v>
      </c>
      <c r="D50" s="1342">
        <v>1</v>
      </c>
      <c r="E50" s="1638">
        <f>'Insumos 2020'!C254</f>
        <v>394.2</v>
      </c>
      <c r="F50" s="1638">
        <f t="shared" si="0"/>
        <v>394.2</v>
      </c>
    </row>
    <row r="51" spans="1:6" x14ac:dyDescent="0.2">
      <c r="A51" s="1634" t="s">
        <v>1948</v>
      </c>
      <c r="B51" s="1341" t="s">
        <v>1949</v>
      </c>
      <c r="C51" s="1342">
        <v>0.1</v>
      </c>
      <c r="D51" s="1342">
        <v>1</v>
      </c>
      <c r="E51" s="1638">
        <f>'Insumos 2020'!C239</f>
        <v>3861.99</v>
      </c>
      <c r="F51" s="1638">
        <f t="shared" si="0"/>
        <v>386.19900000000001</v>
      </c>
    </row>
    <row r="52" spans="1:6" x14ac:dyDescent="0.2">
      <c r="A52" s="1405" t="s">
        <v>1950</v>
      </c>
      <c r="B52" s="1410" t="s">
        <v>1951</v>
      </c>
      <c r="C52" s="1342">
        <v>4</v>
      </c>
      <c r="D52" s="1342">
        <v>1</v>
      </c>
      <c r="E52" s="1638">
        <f>'Insumos 2020'!C262</f>
        <v>92.49</v>
      </c>
      <c r="F52" s="1638">
        <f t="shared" si="0"/>
        <v>369.96</v>
      </c>
    </row>
    <row r="53" spans="1:6" s="1198" customFormat="1" x14ac:dyDescent="0.2">
      <c r="A53" s="1843" t="s">
        <v>1914</v>
      </c>
      <c r="B53" s="1844"/>
      <c r="C53" s="1340">
        <f>SUM(C50:C52)</f>
        <v>5.0999999999999996</v>
      </c>
      <c r="D53" s="1340"/>
      <c r="E53" s="1654"/>
      <c r="F53" s="1662">
        <f>F50+F51+F52</f>
        <v>1150.3589999999999</v>
      </c>
    </row>
    <row r="54" spans="1:6" x14ac:dyDescent="0.2">
      <c r="A54" s="1631"/>
      <c r="B54" s="1631"/>
      <c r="C54" s="1357"/>
      <c r="D54" s="1342"/>
      <c r="E54" s="1639"/>
      <c r="F54" s="1638"/>
    </row>
    <row r="55" spans="1:6" x14ac:dyDescent="0.2">
      <c r="A55" s="1847" t="s">
        <v>1765</v>
      </c>
      <c r="B55" s="1847"/>
      <c r="C55" s="1357"/>
      <c r="D55" s="1342"/>
      <c r="E55" s="1639"/>
      <c r="F55" s="1638"/>
    </row>
    <row r="56" spans="1:6" x14ac:dyDescent="0.2">
      <c r="A56" s="1405" t="s">
        <v>1952</v>
      </c>
      <c r="B56" s="1405" t="s">
        <v>1952</v>
      </c>
      <c r="C56" s="1342">
        <v>4</v>
      </c>
      <c r="D56" s="1342">
        <v>4</v>
      </c>
      <c r="E56" s="1638">
        <f>'Insumos 2020'!C179</f>
        <v>71.19</v>
      </c>
      <c r="F56" s="1638">
        <f t="shared" si="0"/>
        <v>1139.04</v>
      </c>
    </row>
    <row r="57" spans="1:6" x14ac:dyDescent="0.2">
      <c r="A57" s="1411" t="s">
        <v>1953</v>
      </c>
      <c r="B57" s="1406" t="s">
        <v>1954</v>
      </c>
      <c r="C57" s="1342">
        <v>0.02</v>
      </c>
      <c r="D57" s="1342">
        <v>4</v>
      </c>
      <c r="E57" s="1638">
        <f>'Insumos 2020'!C298</f>
        <v>246.93</v>
      </c>
      <c r="F57" s="1638">
        <f t="shared" si="0"/>
        <v>19.7544</v>
      </c>
    </row>
    <row r="58" spans="1:6" x14ac:dyDescent="0.2">
      <c r="A58" s="1411" t="s">
        <v>1955</v>
      </c>
      <c r="B58" s="1411" t="s">
        <v>1956</v>
      </c>
      <c r="C58" s="1342">
        <v>0.02</v>
      </c>
      <c r="D58" s="1342">
        <v>4</v>
      </c>
      <c r="E58" s="1638">
        <f>'Insumos 2020'!C306</f>
        <v>91.96</v>
      </c>
      <c r="F58" s="1638">
        <f t="shared" si="0"/>
        <v>7.3567999999999998</v>
      </c>
    </row>
    <row r="59" spans="1:6" s="1198" customFormat="1" x14ac:dyDescent="0.2">
      <c r="A59" s="1854" t="s">
        <v>1957</v>
      </c>
      <c r="B59" s="1855"/>
      <c r="C59" s="1663">
        <f>SUM(C56:C58)</f>
        <v>4.0399999999999991</v>
      </c>
      <c r="D59" s="1663">
        <f>SUM(D56:D58)</f>
        <v>12</v>
      </c>
      <c r="E59" s="1654"/>
      <c r="F59" s="1655">
        <f>F56+F57+F58</f>
        <v>1166.1512</v>
      </c>
    </row>
    <row r="60" spans="1:6" x14ac:dyDescent="0.2">
      <c r="A60" s="1850" t="s">
        <v>1915</v>
      </c>
      <c r="B60" s="1850"/>
      <c r="C60" s="1342"/>
      <c r="D60" s="1350"/>
      <c r="E60" s="1639"/>
      <c r="F60" s="1638"/>
    </row>
    <row r="61" spans="1:6" x14ac:dyDescent="0.2">
      <c r="A61" s="430" t="s">
        <v>1927</v>
      </c>
      <c r="B61" s="430" t="s">
        <v>1927</v>
      </c>
      <c r="C61" s="1355">
        <v>3</v>
      </c>
      <c r="D61" s="1343">
        <v>2</v>
      </c>
      <c r="E61" s="1638">
        <f>'Resolución 92-21'!C21</f>
        <v>30</v>
      </c>
      <c r="F61" s="1638">
        <f t="shared" si="0"/>
        <v>180</v>
      </c>
    </row>
    <row r="62" spans="1:6" x14ac:dyDescent="0.2">
      <c r="A62" s="1413" t="s">
        <v>1958</v>
      </c>
      <c r="B62" s="1413" t="s">
        <v>1958</v>
      </c>
      <c r="C62" s="1414">
        <v>8</v>
      </c>
      <c r="D62" s="1415">
        <v>1</v>
      </c>
      <c r="E62" s="1638">
        <f>'Resolución 92-21'!C22</f>
        <v>30</v>
      </c>
      <c r="F62" s="1638">
        <f t="shared" si="0"/>
        <v>240</v>
      </c>
    </row>
    <row r="63" spans="1:6" x14ac:dyDescent="0.2">
      <c r="A63" s="430" t="s">
        <v>1929</v>
      </c>
      <c r="B63" s="430" t="s">
        <v>1930</v>
      </c>
      <c r="C63" s="1355">
        <v>3</v>
      </c>
      <c r="D63" s="1343">
        <v>2</v>
      </c>
      <c r="E63" s="1638">
        <f>'Resolución 92-21'!C25</f>
        <v>30</v>
      </c>
      <c r="F63" s="1638">
        <f t="shared" si="0"/>
        <v>180</v>
      </c>
    </row>
    <row r="64" spans="1:6" x14ac:dyDescent="0.2">
      <c r="A64" s="430" t="s">
        <v>1918</v>
      </c>
      <c r="B64" s="430" t="s">
        <v>1919</v>
      </c>
      <c r="C64" s="1355">
        <v>3</v>
      </c>
      <c r="D64" s="1343">
        <v>2</v>
      </c>
      <c r="E64" s="1638">
        <f>'Resolución 92-21'!C24</f>
        <v>30</v>
      </c>
      <c r="F64" s="1638">
        <f t="shared" si="0"/>
        <v>180</v>
      </c>
    </row>
    <row r="65" spans="1:6" x14ac:dyDescent="0.2">
      <c r="A65" s="1640" t="s">
        <v>1920</v>
      </c>
      <c r="B65" s="430" t="s">
        <v>1921</v>
      </c>
      <c r="C65" s="1356">
        <v>20</v>
      </c>
      <c r="D65" s="1343">
        <v>4</v>
      </c>
      <c r="E65" s="1638">
        <f>'Resolución 92-21'!C6</f>
        <v>12</v>
      </c>
      <c r="F65" s="1638">
        <f t="shared" si="0"/>
        <v>960</v>
      </c>
    </row>
    <row r="66" spans="1:6" s="1198" customFormat="1" x14ac:dyDescent="0.2">
      <c r="A66" s="1843" t="s">
        <v>1922</v>
      </c>
      <c r="B66" s="1844"/>
      <c r="C66" s="1664"/>
      <c r="D66" s="1335">
        <f>SUM(D61:D64)</f>
        <v>7</v>
      </c>
      <c r="E66" s="1654"/>
      <c r="F66" s="1655">
        <f>F61+F62+F63+F64+F65</f>
        <v>1740</v>
      </c>
    </row>
  </sheetData>
  <autoFilter ref="A4:F6"/>
  <mergeCells count="31">
    <mergeCell ref="A28:B28"/>
    <mergeCell ref="F4:F6"/>
    <mergeCell ref="E36:E38"/>
    <mergeCell ref="F36:F38"/>
    <mergeCell ref="E20:E22"/>
    <mergeCell ref="F20:F22"/>
    <mergeCell ref="A36:A38"/>
    <mergeCell ref="D20:D22"/>
    <mergeCell ref="D4:D6"/>
    <mergeCell ref="A14:B14"/>
    <mergeCell ref="C20:C22"/>
    <mergeCell ref="B36:B38"/>
    <mergeCell ref="B4:B6"/>
    <mergeCell ref="A18:B18"/>
    <mergeCell ref="C4:C6"/>
    <mergeCell ref="A66:B66"/>
    <mergeCell ref="E4:E6"/>
    <mergeCell ref="A49:B49"/>
    <mergeCell ref="A53:B53"/>
    <mergeCell ref="A55:B55"/>
    <mergeCell ref="A25:B25"/>
    <mergeCell ref="A60:B60"/>
    <mergeCell ref="A4:A6"/>
    <mergeCell ref="A47:B47"/>
    <mergeCell ref="A34:B34"/>
    <mergeCell ref="A59:B59"/>
    <mergeCell ref="D36:D38"/>
    <mergeCell ref="B20:B22"/>
    <mergeCell ref="A30:B30"/>
    <mergeCell ref="A20:A22"/>
    <mergeCell ref="C36:C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12</vt:i4>
      </vt:variant>
    </vt:vector>
  </HeadingPairs>
  <TitlesOfParts>
    <vt:vector size="42" baseType="lpstr">
      <vt:lpstr>DATOS (3)</vt:lpstr>
      <vt:lpstr>Hoja1</vt:lpstr>
      <vt:lpstr>DATOS (2)</vt:lpstr>
      <vt:lpstr>DATOS</vt:lpstr>
      <vt:lpstr>Hoja2</vt:lpstr>
      <vt:lpstr>Datos 2</vt:lpstr>
      <vt:lpstr>FICHA DE COSTO</vt:lpstr>
      <vt:lpstr>IM</vt:lpstr>
      <vt:lpstr>Estrategia a precios actuales</vt:lpstr>
      <vt:lpstr>SALARIOS</vt:lpstr>
      <vt:lpstr>estrategia de suelos</vt:lpstr>
      <vt:lpstr>Agua y energía</vt:lpstr>
      <vt:lpstr>Estrategia</vt:lpstr>
      <vt:lpstr>Resolución 92-21</vt:lpstr>
      <vt:lpstr>Insumos 2020</vt:lpstr>
      <vt:lpstr>Otros insumos</vt:lpstr>
      <vt:lpstr>CT YUCA</vt:lpstr>
      <vt:lpstr>CT BONIATO</vt:lpstr>
      <vt:lpstr>CT BURRO</vt:lpstr>
      <vt:lpstr>CT M XANT</vt:lpstr>
      <vt:lpstr>CT M COLOCASIA</vt:lpstr>
      <vt:lpstr>CT PAPA</vt:lpstr>
      <vt:lpstr>CT P FRUTA</vt:lpstr>
      <vt:lpstr>CT P VIANDA</vt:lpstr>
      <vt:lpstr>GF</vt:lpstr>
      <vt:lpstr>PRECIOS DE INSUMOS PLAGUICIDAS</vt:lpstr>
      <vt:lpstr>FERTILIZANTES</vt:lpstr>
      <vt:lpstr>MATERIALES</vt:lpstr>
      <vt:lpstr>DEPRECIACIÓN</vt:lpstr>
      <vt:lpstr>PRECIOS INSUMOS 2015</vt:lpstr>
      <vt:lpstr>'CT BONIATO'!Área_de_impresión</vt:lpstr>
      <vt:lpstr>'CT M XANT'!Área_de_impresión</vt:lpstr>
      <vt:lpstr>DATOS!Área_de_impresión</vt:lpstr>
      <vt:lpstr>'DATOS (2)'!Área_de_impresión</vt:lpstr>
      <vt:lpstr>'DATOS (3)'!Área_de_impresión</vt:lpstr>
      <vt:lpstr>'FICHA DE COSTO'!Área_de_impresión</vt:lpstr>
      <vt:lpstr>IM!Área_de_impresión</vt:lpstr>
      <vt:lpstr>MATERIALES!Área_de_impresión</vt:lpstr>
      <vt:lpstr>SALARIOS!Área_de_impresión</vt:lpstr>
      <vt:lpstr>'CT BONIATO'!Títulos_a_imprimir</vt:lpstr>
      <vt:lpstr>'CT M XANT'!Títulos_a_imprimir</vt:lpstr>
      <vt:lpstr>'CT P FRUTA'!Títulos_a_imprimir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economia</dc:creator>
  <cp:lastModifiedBy>Roberto Díaz Figueroa</cp:lastModifiedBy>
  <cp:lastPrinted>2020-12-28T19:09:03Z</cp:lastPrinted>
  <dcterms:created xsi:type="dcterms:W3CDTF">2005-10-31T12:18:48Z</dcterms:created>
  <dcterms:modified xsi:type="dcterms:W3CDTF">2024-04-16T18:52:46Z</dcterms:modified>
</cp:coreProperties>
</file>